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\Users\noay\Support - Sport and General\"/>
    </mc:Choice>
  </mc:AlternateContent>
  <bookViews>
    <workbookView xWindow="0" yWindow="0" windowWidth="28695" windowHeight="12405"/>
  </bookViews>
  <sheets>
    <sheet name="טבלת חלוקת הקצבות" sheetId="1" r:id="rId1"/>
    <sheet name="הסבר ניקוד מצינג" sheetId="2" r:id="rId2"/>
  </sheets>
  <definedNames>
    <definedName name="_xlnm.Print_Area" localSheetId="0">'טבלת חלוקת הקצבות'!$A$1:$P$94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8" i="1" l="1"/>
  <c r="O45" i="1" l="1"/>
  <c r="D19" i="2" l="1"/>
  <c r="D13" i="2"/>
  <c r="D69" i="1"/>
  <c r="D70" i="1" l="1"/>
  <c r="R72" i="1" s="1"/>
  <c r="D73" i="1"/>
  <c r="D75" i="1" s="1"/>
  <c r="D15" i="2"/>
  <c r="D16" i="2" l="1"/>
  <c r="D13" i="1"/>
  <c r="D72" i="1"/>
  <c r="D71" i="1"/>
  <c r="D17" i="2"/>
  <c r="M70" i="1" l="1"/>
  <c r="M73" i="1" s="1"/>
  <c r="N5" i="1" s="1"/>
  <c r="M64" i="1"/>
  <c r="M63" i="1"/>
  <c r="M61" i="1"/>
  <c r="M60" i="1"/>
  <c r="M58" i="1"/>
  <c r="M57" i="1"/>
  <c r="M56" i="1"/>
  <c r="M43" i="1"/>
  <c r="M37" i="1"/>
  <c r="M41" i="1"/>
  <c r="M39" i="1"/>
  <c r="M35" i="1"/>
  <c r="M33" i="1"/>
  <c r="M31" i="1"/>
  <c r="M29" i="1"/>
  <c r="M27" i="1"/>
  <c r="M25" i="1"/>
  <c r="M19" i="1"/>
  <c r="M17" i="1"/>
  <c r="M15" i="1"/>
  <c r="M13" i="1"/>
  <c r="M45" i="1" l="1"/>
  <c r="N8" i="1" s="1"/>
  <c r="N11" i="1" s="1"/>
  <c r="M65" i="1"/>
  <c r="N52" i="1"/>
  <c r="N13" i="1" l="1"/>
  <c r="P13" i="1" s="1"/>
  <c r="N54" i="1"/>
  <c r="N35" i="1"/>
  <c r="P35" i="1" s="1"/>
  <c r="N37" i="1"/>
  <c r="P37" i="1" s="1"/>
  <c r="N17" i="1"/>
  <c r="P17" i="1" s="1"/>
  <c r="N19" i="1"/>
  <c r="P19" i="1" s="1"/>
  <c r="N39" i="1"/>
  <c r="P39" i="1" s="1"/>
  <c r="N27" i="1"/>
  <c r="P27" i="1" s="1"/>
  <c r="N29" i="1"/>
  <c r="P29" i="1" s="1"/>
  <c r="N43" i="1"/>
  <c r="P43" i="1" s="1"/>
  <c r="N31" i="1"/>
  <c r="P31" i="1" s="1"/>
  <c r="N41" i="1"/>
  <c r="P41" i="1" s="1"/>
  <c r="N33" i="1"/>
  <c r="P33" i="1" s="1"/>
  <c r="N25" i="1"/>
  <c r="P25" i="1" s="1"/>
  <c r="N15" i="1"/>
  <c r="P15" i="1" s="1"/>
  <c r="P45" i="1" l="1"/>
  <c r="N45" i="1"/>
  <c r="N60" i="1"/>
  <c r="N63" i="1"/>
  <c r="N56" i="1"/>
  <c r="N64" i="1"/>
  <c r="N57" i="1"/>
  <c r="N58" i="1"/>
  <c r="N61" i="1"/>
  <c r="N65" i="1" l="1"/>
  <c r="R68" i="1" s="1"/>
</calcChain>
</file>

<file path=xl/sharedStrings.xml><?xml version="1.0" encoding="utf-8"?>
<sst xmlns="http://schemas.openxmlformats.org/spreadsheetml/2006/main" count="278" uniqueCount="126">
  <si>
    <t>שם האגודה</t>
  </si>
  <si>
    <t>ענפים קבוצתיים -בוגרים/ות</t>
  </si>
  <si>
    <t>סך הניקוד</t>
  </si>
  <si>
    <t>ההקצבות</t>
  </si>
  <si>
    <t>קבוצות המשחקות בליגות הראשונות</t>
  </si>
  <si>
    <t>קבוצות המשחקות בליגות שאינם ראשונות</t>
  </si>
  <si>
    <t xml:space="preserve">מס' ליגות </t>
  </si>
  <si>
    <t xml:space="preserve">דירוג רמה </t>
  </si>
  <si>
    <t xml:space="preserve">ניקוד  </t>
  </si>
  <si>
    <t>ערך נקודה:</t>
  </si>
  <si>
    <t>האחוז</t>
  </si>
  <si>
    <t>בוגרים</t>
  </si>
  <si>
    <t>כדורגל - נשים</t>
  </si>
  <si>
    <t>בוגרות</t>
  </si>
  <si>
    <t>כדורסל - גברים</t>
  </si>
  <si>
    <t>כדורסל - נשים</t>
  </si>
  <si>
    <t>כדוריד - גברים</t>
  </si>
  <si>
    <t>כדוריד - נשים</t>
  </si>
  <si>
    <t>ענפים אישיים -בוגרים/ות</t>
  </si>
  <si>
    <t xml:space="preserve">א' </t>
  </si>
  <si>
    <t xml:space="preserve">ב' </t>
  </si>
  <si>
    <t xml:space="preserve">ג' </t>
  </si>
  <si>
    <t>ד'</t>
  </si>
  <si>
    <t>התעמלות אומנותית</t>
  </si>
  <si>
    <t>גלגיליות</t>
  </si>
  <si>
    <t>ג'ודו</t>
  </si>
  <si>
    <t>באולינג</t>
  </si>
  <si>
    <t>אתלטיקה קלה</t>
  </si>
  <si>
    <t>טניס-שולחן</t>
  </si>
  <si>
    <t>טרמפולינה</t>
  </si>
  <si>
    <t>שחיה</t>
  </si>
  <si>
    <t>החלקה על הקרח</t>
  </si>
  <si>
    <t xml:space="preserve">סה"כ </t>
  </si>
  <si>
    <t>נוער/נערות</t>
  </si>
  <si>
    <t>נערים/ות</t>
  </si>
  <si>
    <t>ילדים/ות</t>
  </si>
  <si>
    <t xml:space="preserve">טרום רגל/סל </t>
  </si>
  <si>
    <t>ענפים קבוצתיים</t>
  </si>
  <si>
    <t>2-3-4</t>
  </si>
  <si>
    <t>ניקוד</t>
  </si>
  <si>
    <t xml:space="preserve">כדורגל </t>
  </si>
  <si>
    <t>נוער</t>
  </si>
  <si>
    <t xml:space="preserve">נוער </t>
  </si>
  <si>
    <t>נערות</t>
  </si>
  <si>
    <t>כדורסל</t>
  </si>
  <si>
    <t xml:space="preserve">כדוריד </t>
  </si>
  <si>
    <t>סה"כ ניקוד:</t>
  </si>
  <si>
    <t>סך-התקציב</t>
  </si>
  <si>
    <t xml:space="preserve">יתרה לחלוקה: </t>
  </si>
  <si>
    <t>חלוקת בסיס</t>
  </si>
  <si>
    <t xml:space="preserve">תקציב מחלקות הבוגרים </t>
  </si>
  <si>
    <t xml:space="preserve">תקציב מחלקות הנוער  </t>
  </si>
  <si>
    <t>תקציב מחלקות הבוגרים</t>
  </si>
  <si>
    <t>←</t>
  </si>
  <si>
    <t>יתרת תקציב מחלקות הבוגרים לחלוקה</t>
  </si>
  <si>
    <t xml:space="preserve">הישגיות </t>
  </si>
  <si>
    <t>מועדון כדוריד חולון</t>
  </si>
  <si>
    <t>מועדון עירוני להתעמלות אמנותית</t>
  </si>
  <si>
    <t>כוכבי על חולון והאזור - אליצור</t>
  </si>
  <si>
    <t>כוכב עולה - הפועל חולון</t>
  </si>
  <si>
    <t xml:space="preserve"> ארזים חולון - עוצמה </t>
  </si>
  <si>
    <t xml:space="preserve">מועדון לטיפוח הנוער בכדורגל - ירמיהו </t>
  </si>
  <si>
    <t xml:space="preserve"> הורי מחליקי הגלגיליות</t>
  </si>
  <si>
    <t xml:space="preserve"> פסגה ג'ודו</t>
  </si>
  <si>
    <t>באוול 300 חולון</t>
  </si>
  <si>
    <t>עמותת ספורט בגין חולון</t>
  </si>
  <si>
    <t>ICE חולון</t>
  </si>
  <si>
    <t>סלעים איתנים עמותה לקידום הספורט - הפועל חולון</t>
  </si>
  <si>
    <t>אליצור חולון - אליצור</t>
  </si>
  <si>
    <t xml:space="preserve">מועדון לקידום כדורגל נשים - מכבי חולון </t>
  </si>
  <si>
    <t>מועדון לקידום כדורגל נשים - מכבי חולון</t>
  </si>
  <si>
    <t>מענק חד פעמי לפרוייקט כ.רגל -עמותה לקידום כדורגל בחולון -(ירמיהו)</t>
  </si>
  <si>
    <t>(*)</t>
  </si>
  <si>
    <t>עמותה לקידום כדורגל בחולון - ירמיהו (*)</t>
  </si>
  <si>
    <t>ענף</t>
  </si>
  <si>
    <t xml:space="preserve">האגודה </t>
  </si>
  <si>
    <t>הפועל חולון-בוגרים</t>
  </si>
  <si>
    <t>התמיכה הבסיסית</t>
  </si>
  <si>
    <t>נקודות</t>
  </si>
  <si>
    <t>תוספת רמת על 50%</t>
  </si>
  <si>
    <t xml:space="preserve">נקודות </t>
  </si>
  <si>
    <t>מצ'ינג 50% מסך מכירות הכרטיסים:</t>
  </si>
  <si>
    <t>(שקל מול שקל 1:1)</t>
  </si>
  <si>
    <t xml:space="preserve">* </t>
  </si>
  <si>
    <t xml:space="preserve">עד תקרה תקציבית בסך 500,000 ₪ </t>
  </si>
  <si>
    <t>עמותה לקידום כדורגל בחולון - ירמיהו</t>
  </si>
  <si>
    <t xml:space="preserve"> חולון 2000 לספורט עממי - הפועל חולון</t>
  </si>
  <si>
    <t>דירוג רמה</t>
  </si>
  <si>
    <t>תחשיב התיגמול בגין הכרטיסים ומנויים :</t>
  </si>
  <si>
    <t>סה"כ ניקוד ללא מצינג'</t>
  </si>
  <si>
    <t>ערך נקודה ללא תמיכה מצינג'</t>
  </si>
  <si>
    <t>תקציב לאחר הפחתת תמיכה מצינג'</t>
  </si>
  <si>
    <t xml:space="preserve">סה"כ תמיכה </t>
  </si>
  <si>
    <t xml:space="preserve">אקרובטיקה </t>
  </si>
  <si>
    <t xml:space="preserve">כדורגל חופים - ארזים חולון </t>
  </si>
  <si>
    <t>מענק חד פעמי לפרוייקט כ.רגל חופים - ארזים חולון (עוצמה )</t>
  </si>
  <si>
    <r>
      <t>500,000: ערך נקודה *</t>
    </r>
    <r>
      <rPr>
        <b/>
        <sz val="10"/>
        <color indexed="56"/>
        <rFont val="Arial"/>
        <family val="2"/>
      </rPr>
      <t>1,329</t>
    </r>
    <r>
      <rPr>
        <sz val="10"/>
        <rFont val="Arial"/>
        <family val="2"/>
      </rPr>
      <t xml:space="preserve"> =  </t>
    </r>
  </si>
  <si>
    <t>התקציב כולל תוספת חד פעמית בסכום  של 150,000 ₪ לטובת הקבוצה כ.רגל בוגרים</t>
  </si>
  <si>
    <t>חלוקת הקצבות לאגודות הספורט 2021 - בוגרים</t>
  </si>
  <si>
    <t>הסבר ניקוד מצינג 2021</t>
  </si>
  <si>
    <t>ביקרנו את טבלאות חלוקת סכומי התמיכות לעיל (להלן: טבלת החלוקה) .</t>
  </si>
  <si>
    <t xml:space="preserve">ערכנו את ביקורתנו בהתאם לתקני ביקורת מקובלים, שנקבעו בתקנות רואי חשבון (דרך פעולתו של רואה חשבון), התשל"ג-1973.  </t>
  </si>
  <si>
    <t>כספי התמיכה יועברו רק לאחר הצגת כל המסמכים הנדרשים על פי הדין</t>
  </si>
  <si>
    <t xml:space="preserve"> בכבוד רב,</t>
  </si>
  <si>
    <t>משולם, עברי ושות'</t>
  </si>
  <si>
    <t>רואי  חשבון</t>
  </si>
  <si>
    <t>חלוקת הקצבות לאגודות הספורט 2021 - נוער</t>
  </si>
  <si>
    <t>נציין כי במקרים מעטים טרם הוגשו כל המסמכים. במקרים אלו, הסתמכנו על נתוני שנה קודמת.</t>
  </si>
  <si>
    <t>לאחר שיתקבלו כל המסמכים, נבצע ביקורת נוספת ויתכנו שינויים בטבלת החלוקה.</t>
  </si>
  <si>
    <t xml:space="preserve">טבלת החלוקה הנ"ל משקפת באופן כללי בהתאם לכללי חשבונאות מקובלים, מכל הבחינות המהותיות, את התבחינים </t>
  </si>
  <si>
    <t xml:space="preserve">שאישרה ועדת התמיכות של עיריית חולון לשנת 2021 </t>
  </si>
  <si>
    <t>3,188,783-500,000 =</t>
  </si>
  <si>
    <t>2,688,783/1970 =</t>
  </si>
  <si>
    <t>(600*1,365)+500,000 =</t>
  </si>
  <si>
    <t>תקציב קודם</t>
  </si>
  <si>
    <t>תוספת</t>
  </si>
  <si>
    <t>תוספת חד פעמית להישגיות</t>
  </si>
  <si>
    <t>סה"כ הישגיות</t>
  </si>
  <si>
    <t>22.11.21</t>
  </si>
  <si>
    <t>חלוקת הקצבות לאגודות ספורט- מעודכנת</t>
  </si>
  <si>
    <t>ריק במקור</t>
  </si>
  <si>
    <t>ריק במקור2</t>
  </si>
  <si>
    <t>ריק במקור3</t>
  </si>
  <si>
    <t>ריק במקור4</t>
  </si>
  <si>
    <t>ריק במקור5</t>
  </si>
  <si>
    <t>ריק במקור6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</si>
</sst>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;"/>
  </numFmts>
  <fonts count="43" x14ac:knownFonts="1"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3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/>
      <sz val="28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sz val="12"/>
      <color rgb="FF0000FF"/>
      <name val="Arial"/>
      <family val="2"/>
    </font>
    <font>
      <b/>
      <sz val="12"/>
      <color theme="0"/>
      <name val="Arial"/>
      <family val="2"/>
    </font>
    <font>
      <b/>
      <sz val="11"/>
      <color indexed="12"/>
      <name val="Arial"/>
      <family val="2"/>
    </font>
    <font>
      <sz val="12"/>
      <color theme="0"/>
      <name val="Arial"/>
      <family val="2"/>
    </font>
    <font>
      <b/>
      <sz val="36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2"/>
      <color rgb="FF19049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6"/>
      <name val="Arial"/>
      <family val="2"/>
    </font>
    <font>
      <u/>
      <sz val="10"/>
      <name val="Arial"/>
      <family val="2"/>
    </font>
    <font>
      <b/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Arial"/>
      <family val="2"/>
      <scheme val="minor"/>
    </font>
    <font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/>
    <xf numFmtId="3" fontId="3" fillId="0" borderId="0" xfId="0" applyNumberFormat="1" applyFont="1" applyBorder="1"/>
    <xf numFmtId="0" fontId="7" fillId="2" borderId="2" xfId="0" applyFont="1" applyFill="1" applyBorder="1"/>
    <xf numFmtId="164" fontId="10" fillId="0" borderId="5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>
      <alignment horizontal="right"/>
    </xf>
    <xf numFmtId="49" fontId="7" fillId="2" borderId="9" xfId="0" applyNumberFormat="1" applyFont="1" applyFill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 wrapText="1"/>
    </xf>
    <xf numFmtId="164" fontId="3" fillId="4" borderId="16" xfId="0" applyNumberFormat="1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9" fontId="7" fillId="2" borderId="19" xfId="0" applyNumberFormat="1" applyFont="1" applyFill="1" applyBorder="1" applyAlignment="1">
      <alignment horizontal="center"/>
    </xf>
    <xf numFmtId="9" fontId="7" fillId="2" borderId="20" xfId="0" applyNumberFormat="1" applyFont="1" applyFill="1" applyBorder="1" applyAlignment="1">
      <alignment horizontal="center"/>
    </xf>
    <xf numFmtId="9" fontId="7" fillId="2" borderId="21" xfId="0" applyNumberFormat="1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36" xfId="0" applyNumberFormat="1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1" fillId="0" borderId="23" xfId="0" applyNumberFormat="1" applyFont="1" applyFill="1" applyBorder="1"/>
    <xf numFmtId="0" fontId="1" fillId="3" borderId="2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2" fontId="1" fillId="0" borderId="44" xfId="0" applyNumberFormat="1" applyFont="1" applyFill="1" applyBorder="1"/>
    <xf numFmtId="2" fontId="3" fillId="0" borderId="23" xfId="0" applyNumberFormat="1" applyFont="1" applyFill="1" applyBorder="1"/>
    <xf numFmtId="0" fontId="9" fillId="2" borderId="38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/>
    <xf numFmtId="9" fontId="7" fillId="2" borderId="47" xfId="0" applyNumberFormat="1" applyFont="1" applyFill="1" applyBorder="1" applyAlignment="1">
      <alignment horizontal="center"/>
    </xf>
    <xf numFmtId="9" fontId="7" fillId="2" borderId="48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 vertical="center" wrapText="1"/>
    </xf>
    <xf numFmtId="1" fontId="7" fillId="2" borderId="47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readingOrder="2"/>
    </xf>
    <xf numFmtId="0" fontId="15" fillId="0" borderId="26" xfId="0" applyFont="1" applyFill="1" applyBorder="1" applyAlignment="1">
      <alignment horizontal="center" readingOrder="2"/>
    </xf>
    <xf numFmtId="0" fontId="1" fillId="0" borderId="45" xfId="0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 readingOrder="2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2" fontId="3" fillId="0" borderId="54" xfId="0" applyNumberFormat="1" applyFont="1" applyFill="1" applyBorder="1"/>
    <xf numFmtId="2" fontId="1" fillId="0" borderId="37" xfId="0" applyNumberFormat="1" applyFont="1" applyFill="1" applyBorder="1"/>
    <xf numFmtId="2" fontId="1" fillId="0" borderId="54" xfId="0" applyNumberFormat="1" applyFont="1" applyFill="1" applyBorder="1"/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2" fontId="1" fillId="0" borderId="22" xfId="0" applyNumberFormat="1" applyFont="1" applyFill="1" applyBorder="1"/>
    <xf numFmtId="2" fontId="1" fillId="0" borderId="10" xfId="0" applyNumberFormat="1" applyFont="1" applyFill="1" applyBorder="1"/>
    <xf numFmtId="0" fontId="15" fillId="0" borderId="56" xfId="0" applyFont="1" applyFill="1" applyBorder="1" applyAlignment="1">
      <alignment horizontal="center" readingOrder="2"/>
    </xf>
    <xf numFmtId="2" fontId="3" fillId="0" borderId="22" xfId="0" applyNumberFormat="1" applyFont="1" applyFill="1" applyBorder="1"/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2" fontId="3" fillId="0" borderId="4" xfId="0" applyNumberFormat="1" applyFont="1" applyFill="1" applyBorder="1"/>
    <xf numFmtId="0" fontId="1" fillId="0" borderId="0" xfId="0" applyFont="1" applyBorder="1"/>
    <xf numFmtId="3" fontId="12" fillId="0" borderId="49" xfId="0" applyNumberFormat="1" applyFont="1" applyBorder="1"/>
    <xf numFmtId="3" fontId="18" fillId="0" borderId="0" xfId="0" applyNumberFormat="1" applyFont="1" applyBorder="1"/>
    <xf numFmtId="0" fontId="11" fillId="6" borderId="14" xfId="0" applyFont="1" applyFill="1" applyBorder="1"/>
    <xf numFmtId="9" fontId="3" fillId="6" borderId="14" xfId="0" applyNumberFormat="1" applyFont="1" applyFill="1" applyBorder="1" applyAlignment="1">
      <alignment horizontal="center"/>
    </xf>
    <xf numFmtId="0" fontId="3" fillId="6" borderId="14" xfId="0" applyFont="1" applyFill="1" applyBorder="1"/>
    <xf numFmtId="0" fontId="3" fillId="6" borderId="14" xfId="0" applyFont="1" applyFill="1" applyBorder="1" applyAlignment="1">
      <alignment horizontal="center"/>
    </xf>
    <xf numFmtId="0" fontId="3" fillId="6" borderId="42" xfId="0" applyFont="1" applyFill="1" applyBorder="1"/>
    <xf numFmtId="0" fontId="17" fillId="6" borderId="42" xfId="0" applyFont="1" applyFill="1" applyBorder="1" applyAlignment="1">
      <alignment horizontal="center"/>
    </xf>
    <xf numFmtId="164" fontId="3" fillId="4" borderId="42" xfId="0" applyNumberFormat="1" applyFont="1" applyFill="1" applyBorder="1" applyAlignment="1">
      <alignment vertical="center" wrapText="1"/>
    </xf>
    <xf numFmtId="0" fontId="3" fillId="3" borderId="14" xfId="0" applyFont="1" applyFill="1" applyBorder="1"/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/>
    <xf numFmtId="0" fontId="3" fillId="3" borderId="42" xfId="0" applyFont="1" applyFill="1" applyBorder="1"/>
    <xf numFmtId="0" fontId="1" fillId="3" borderId="42" xfId="0" applyFont="1" applyFill="1" applyBorder="1" applyAlignment="1">
      <alignment horizontal="center"/>
    </xf>
    <xf numFmtId="2" fontId="1" fillId="3" borderId="42" xfId="0" applyNumberFormat="1" applyFont="1" applyFill="1" applyBorder="1"/>
    <xf numFmtId="0" fontId="3" fillId="3" borderId="32" xfId="0" applyFont="1" applyFill="1" applyBorder="1"/>
    <xf numFmtId="0" fontId="1" fillId="3" borderId="32" xfId="0" applyFont="1" applyFill="1" applyBorder="1" applyAlignment="1">
      <alignment horizontal="center"/>
    </xf>
    <xf numFmtId="2" fontId="1" fillId="3" borderId="32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22" fillId="3" borderId="0" xfId="0" applyFont="1" applyFill="1"/>
    <xf numFmtId="0" fontId="12" fillId="3" borderId="61" xfId="0" applyFont="1" applyFill="1" applyBorder="1" applyAlignment="1">
      <alignment horizontal="right"/>
    </xf>
    <xf numFmtId="2" fontId="12" fillId="3" borderId="61" xfId="0" applyNumberFormat="1" applyFont="1" applyFill="1" applyBorder="1"/>
    <xf numFmtId="3" fontId="12" fillId="0" borderId="61" xfId="0" applyNumberFormat="1" applyFont="1" applyBorder="1"/>
    <xf numFmtId="3" fontId="1" fillId="0" borderId="0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3" fillId="0" borderId="15" xfId="0" applyFont="1" applyBorder="1"/>
    <xf numFmtId="3" fontId="13" fillId="0" borderId="13" xfId="0" applyNumberFormat="1" applyFont="1" applyBorder="1"/>
    <xf numFmtId="3" fontId="13" fillId="0" borderId="14" xfId="0" applyNumberFormat="1" applyFont="1" applyBorder="1" applyAlignment="1">
      <alignment readingOrder="2"/>
    </xf>
    <xf numFmtId="2" fontId="25" fillId="0" borderId="0" xfId="0" applyNumberFormat="1" applyFont="1" applyFill="1" applyBorder="1"/>
    <xf numFmtId="3" fontId="11" fillId="0" borderId="0" xfId="0" applyNumberFormat="1" applyFont="1" applyBorder="1"/>
    <xf numFmtId="3" fontId="3" fillId="2" borderId="54" xfId="0" applyNumberFormat="1" applyFont="1" applyFill="1" applyBorder="1"/>
    <xf numFmtId="3" fontId="26" fillId="0" borderId="0" xfId="0" applyNumberFormat="1" applyFont="1" applyBorder="1"/>
    <xf numFmtId="0" fontId="3" fillId="2" borderId="29" xfId="0" applyFont="1" applyFill="1" applyBorder="1"/>
    <xf numFmtId="3" fontId="3" fillId="2" borderId="30" xfId="0" applyNumberFormat="1" applyFont="1" applyFill="1" applyBorder="1"/>
    <xf numFmtId="0" fontId="1" fillId="2" borderId="30" xfId="0" applyFont="1" applyFill="1" applyBorder="1"/>
    <xf numFmtId="0" fontId="23" fillId="2" borderId="30" xfId="0" applyFont="1" applyFill="1" applyBorder="1"/>
    <xf numFmtId="3" fontId="25" fillId="2" borderId="36" xfId="0" applyNumberFormat="1" applyFont="1" applyFill="1" applyBorder="1"/>
    <xf numFmtId="1" fontId="1" fillId="0" borderId="42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3" fontId="17" fillId="0" borderId="0" xfId="0" applyNumberFormat="1" applyFont="1" applyBorder="1"/>
    <xf numFmtId="0" fontId="1" fillId="0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14" xfId="0" applyFont="1" applyFill="1" applyBorder="1"/>
    <xf numFmtId="2" fontId="1" fillId="0" borderId="14" xfId="0" applyNumberFormat="1" applyFont="1" applyFill="1" applyBorder="1"/>
    <xf numFmtId="3" fontId="1" fillId="0" borderId="14" xfId="0" applyNumberFormat="1" applyFont="1" applyFill="1" applyBorder="1"/>
    <xf numFmtId="0" fontId="9" fillId="2" borderId="64" xfId="0" applyFont="1" applyFill="1" applyBorder="1"/>
    <xf numFmtId="0" fontId="7" fillId="2" borderId="38" xfId="0" applyFont="1" applyFill="1" applyBorder="1"/>
    <xf numFmtId="0" fontId="9" fillId="2" borderId="65" xfId="0" applyFont="1" applyFill="1" applyBorder="1"/>
    <xf numFmtId="0" fontId="1" fillId="0" borderId="14" xfId="0" applyFont="1" applyFill="1" applyBorder="1" applyAlignment="1">
      <alignment horizontal="right"/>
    </xf>
    <xf numFmtId="0" fontId="24" fillId="0" borderId="14" xfId="0" applyFont="1" applyBorder="1"/>
    <xf numFmtId="3" fontId="17" fillId="0" borderId="14" xfId="0" applyNumberFormat="1" applyFont="1" applyBorder="1"/>
    <xf numFmtId="3" fontId="17" fillId="0" borderId="14" xfId="0" applyNumberFormat="1" applyFont="1" applyBorder="1" applyAlignment="1">
      <alignment readingOrder="2"/>
    </xf>
    <xf numFmtId="0" fontId="18" fillId="0" borderId="14" xfId="0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3" fontId="18" fillId="0" borderId="14" xfId="0" applyNumberFormat="1" applyFont="1" applyBorder="1"/>
    <xf numFmtId="10" fontId="3" fillId="0" borderId="31" xfId="0" applyNumberFormat="1" applyFont="1" applyFill="1" applyBorder="1" applyAlignment="1">
      <alignment horizontal="right" readingOrder="2"/>
    </xf>
    <xf numFmtId="9" fontId="11" fillId="0" borderId="64" xfId="0" applyNumberFormat="1" applyFont="1" applyBorder="1" applyAlignment="1">
      <alignment horizontal="right" readingOrder="2"/>
    </xf>
    <xf numFmtId="3" fontId="11" fillId="0" borderId="64" xfId="0" applyNumberFormat="1" applyFont="1" applyBorder="1" applyAlignment="1">
      <alignment horizontal="right"/>
    </xf>
    <xf numFmtId="3" fontId="11" fillId="0" borderId="64" xfId="0" applyNumberFormat="1" applyFont="1" applyBorder="1"/>
    <xf numFmtId="9" fontId="3" fillId="0" borderId="63" xfId="0" applyNumberFormat="1" applyFont="1" applyFill="1" applyBorder="1" applyAlignment="1">
      <alignment horizontal="right" readingOrder="2"/>
    </xf>
    <xf numFmtId="10" fontId="3" fillId="0" borderId="62" xfId="0" applyNumberFormat="1" applyFont="1" applyFill="1" applyBorder="1" applyAlignment="1">
      <alignment horizontal="right" readingOrder="2"/>
    </xf>
    <xf numFmtId="3" fontId="3" fillId="0" borderId="54" xfId="0" applyNumberFormat="1" applyFont="1" applyBorder="1"/>
    <xf numFmtId="9" fontId="3" fillId="0" borderId="29" xfId="0" applyNumberFormat="1" applyFont="1" applyFill="1" applyBorder="1" applyAlignment="1">
      <alignment horizontal="right" readingOrder="2"/>
    </xf>
    <xf numFmtId="3" fontId="3" fillId="0" borderId="36" xfId="0" applyNumberFormat="1" applyFont="1" applyBorder="1"/>
    <xf numFmtId="3" fontId="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/>
    <xf numFmtId="164" fontId="23" fillId="0" borderId="0" xfId="0" applyNumberFormat="1" applyFont="1"/>
    <xf numFmtId="2" fontId="25" fillId="0" borderId="0" xfId="0" applyNumberFormat="1" applyFont="1"/>
    <xf numFmtId="0" fontId="30" fillId="0" borderId="0" xfId="0" applyFont="1"/>
    <xf numFmtId="3" fontId="13" fillId="0" borderId="0" xfId="0" applyNumberFormat="1" applyFont="1"/>
    <xf numFmtId="0" fontId="24" fillId="0" borderId="0" xfId="0" applyFont="1" applyBorder="1"/>
    <xf numFmtId="0" fontId="0" fillId="0" borderId="0" xfId="0" applyAlignment="1">
      <alignment horizontal="center"/>
    </xf>
    <xf numFmtId="0" fontId="33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38" xfId="0" applyFont="1" applyBorder="1"/>
    <xf numFmtId="0" fontId="0" fillId="0" borderId="38" xfId="0" applyBorder="1" applyAlignment="1">
      <alignment horizontal="center"/>
    </xf>
    <xf numFmtId="0" fontId="35" fillId="0" borderId="0" xfId="0" applyFont="1" applyAlignment="1">
      <alignment horizontal="left"/>
    </xf>
    <xf numFmtId="0" fontId="34" fillId="8" borderId="0" xfId="0" applyFont="1" applyFill="1" applyAlignment="1">
      <alignment horizontal="center"/>
    </xf>
    <xf numFmtId="0" fontId="31" fillId="8" borderId="0" xfId="0" applyFont="1" applyFill="1"/>
    <xf numFmtId="14" fontId="34" fillId="8" borderId="0" xfId="0" applyNumberFormat="1" applyFont="1" applyFill="1"/>
    <xf numFmtId="0" fontId="0" fillId="8" borderId="0" xfId="0" applyFill="1"/>
    <xf numFmtId="0" fontId="31" fillId="8" borderId="0" xfId="0" applyFont="1" applyFill="1" applyAlignment="1">
      <alignment horizontal="right"/>
    </xf>
    <xf numFmtId="0" fontId="31" fillId="8" borderId="38" xfId="0" applyFont="1" applyFill="1" applyBorder="1"/>
    <xf numFmtId="0" fontId="35" fillId="8" borderId="0" xfId="0" applyFont="1" applyFill="1" applyAlignment="1">
      <alignment horizontal="left"/>
    </xf>
    <xf numFmtId="1" fontId="35" fillId="8" borderId="0" xfId="0" applyNumberFormat="1" applyFont="1" applyFill="1" applyAlignment="1">
      <alignment horizontal="center"/>
    </xf>
    <xf numFmtId="0" fontId="35" fillId="8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31" fillId="0" borderId="38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/>
    <xf numFmtId="0" fontId="31" fillId="8" borderId="0" xfId="0" applyFont="1" applyFill="1" applyAlignment="1">
      <alignment horizontal="right"/>
    </xf>
    <xf numFmtId="3" fontId="31" fillId="8" borderId="0" xfId="0" applyNumberFormat="1" applyFont="1" applyFill="1" applyAlignment="1">
      <alignment horizontal="right"/>
    </xf>
    <xf numFmtId="3" fontId="0" fillId="0" borderId="0" xfId="0" applyNumberFormat="1" applyAlignment="1">
      <alignment horizontal="center"/>
    </xf>
    <xf numFmtId="0" fontId="38" fillId="0" borderId="0" xfId="0" applyFont="1" applyAlignment="1">
      <alignment vertical="center" wrapText="1" readingOrder="2"/>
    </xf>
    <xf numFmtId="2" fontId="34" fillId="8" borderId="38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2" fontId="1" fillId="0" borderId="66" xfId="0" applyNumberFormat="1" applyFont="1" applyFill="1" applyBorder="1"/>
    <xf numFmtId="4" fontId="12" fillId="0" borderId="10" xfId="0" applyNumberFormat="1" applyFont="1" applyBorder="1"/>
    <xf numFmtId="2" fontId="3" fillId="0" borderId="14" xfId="0" applyNumberFormat="1" applyFont="1" applyFill="1" applyBorder="1"/>
    <xf numFmtId="0" fontId="0" fillId="5" borderId="18" xfId="0" applyFill="1" applyBorder="1"/>
    <xf numFmtId="0" fontId="17" fillId="5" borderId="0" xfId="0" applyFont="1" applyFill="1" applyBorder="1" applyAlignment="1">
      <alignment horizontal="right"/>
    </xf>
    <xf numFmtId="3" fontId="12" fillId="5" borderId="5" xfId="0" applyNumberFormat="1" applyFont="1" applyFill="1" applyBorder="1"/>
    <xf numFmtId="0" fontId="27" fillId="0" borderId="14" xfId="0" applyFont="1" applyBorder="1"/>
    <xf numFmtId="0" fontId="28" fillId="0" borderId="14" xfId="0" applyFont="1" applyBorder="1"/>
    <xf numFmtId="164" fontId="28" fillId="0" borderId="14" xfId="0" applyNumberFormat="1" applyFont="1" applyBorder="1"/>
    <xf numFmtId="3" fontId="28" fillId="0" borderId="14" xfId="0" applyNumberFormat="1" applyFont="1" applyBorder="1"/>
    <xf numFmtId="0" fontId="3" fillId="2" borderId="1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3" fillId="2" borderId="22" xfId="0" applyNumberFormat="1" applyFont="1" applyFill="1" applyBorder="1"/>
    <xf numFmtId="0" fontId="3" fillId="2" borderId="63" xfId="0" applyFont="1" applyFill="1" applyBorder="1"/>
    <xf numFmtId="3" fontId="3" fillId="2" borderId="62" xfId="0" applyNumberFormat="1" applyFont="1" applyFill="1" applyBorder="1"/>
    <xf numFmtId="0" fontId="3" fillId="2" borderId="62" xfId="0" applyFont="1" applyFill="1" applyBorder="1"/>
    <xf numFmtId="0" fontId="23" fillId="2" borderId="62" xfId="0" applyFont="1" applyFill="1" applyBorder="1" applyAlignment="1">
      <alignment horizontal="center"/>
    </xf>
    <xf numFmtId="3" fontId="6" fillId="2" borderId="54" xfId="0" applyNumberFormat="1" applyFont="1" applyFill="1" applyBorder="1"/>
    <xf numFmtId="3" fontId="1" fillId="0" borderId="25" xfId="0" applyNumberFormat="1" applyFont="1" applyFill="1" applyBorder="1" applyAlignment="1">
      <alignment horizontal="center"/>
    </xf>
    <xf numFmtId="0" fontId="0" fillId="0" borderId="26" xfId="0" applyBorder="1"/>
    <xf numFmtId="0" fontId="16" fillId="0" borderId="26" xfId="0" applyFont="1" applyBorder="1"/>
    <xf numFmtId="0" fontId="1" fillId="0" borderId="26" xfId="0" applyFont="1" applyBorder="1"/>
    <xf numFmtId="0" fontId="14" fillId="0" borderId="14" xfId="0" applyFont="1" applyFill="1" applyBorder="1" applyAlignment="1">
      <alignment horizontal="right"/>
    </xf>
    <xf numFmtId="0" fontId="39" fillId="0" borderId="0" xfId="0" applyFont="1"/>
    <xf numFmtId="0" fontId="38" fillId="0" borderId="0" xfId="0" applyFont="1" applyAlignment="1">
      <alignment horizontal="center" vertical="center" wrapText="1" readingOrder="2"/>
    </xf>
    <xf numFmtId="0" fontId="40" fillId="0" borderId="0" xfId="0" applyFont="1" applyAlignment="1">
      <alignment horizontal="right" vertical="center" readingOrder="2"/>
    </xf>
    <xf numFmtId="0" fontId="41" fillId="0" borderId="0" xfId="0" applyFont="1"/>
    <xf numFmtId="0" fontId="5" fillId="0" borderId="0" xfId="0" applyFont="1" applyAlignment="1">
      <alignment horizontal="center" vertical="center"/>
    </xf>
    <xf numFmtId="3" fontId="0" fillId="0" borderId="0" xfId="0" applyNumberFormat="1"/>
    <xf numFmtId="3" fontId="12" fillId="0" borderId="0" xfId="0" applyNumberFormat="1" applyFont="1" applyBorder="1"/>
    <xf numFmtId="3" fontId="3" fillId="3" borderId="0" xfId="0" applyNumberFormat="1" applyFont="1" applyFill="1" applyBorder="1"/>
    <xf numFmtId="3" fontId="1" fillId="0" borderId="0" xfId="0" applyNumberFormat="1" applyFont="1" applyFill="1" applyBorder="1"/>
    <xf numFmtId="3" fontId="12" fillId="5" borderId="0" xfId="0" applyNumberFormat="1" applyFont="1" applyFill="1" applyBorder="1"/>
    <xf numFmtId="3" fontId="28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/>
    <xf numFmtId="3" fontId="11" fillId="7" borderId="0" xfId="0" applyNumberFormat="1" applyFont="1" applyFill="1" applyBorder="1"/>
    <xf numFmtId="3" fontId="1" fillId="3" borderId="0" xfId="0" applyNumberFormat="1" applyFont="1" applyFill="1" applyBorder="1"/>
    <xf numFmtId="3" fontId="11" fillId="0" borderId="7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/>
    <xf numFmtId="3" fontId="3" fillId="3" borderId="7" xfId="0" applyNumberFormat="1" applyFont="1" applyFill="1" applyBorder="1"/>
    <xf numFmtId="3" fontId="3" fillId="4" borderId="68" xfId="0" applyNumberFormat="1" applyFont="1" applyFill="1" applyBorder="1"/>
    <xf numFmtId="3" fontId="3" fillId="4" borderId="18" xfId="0" applyNumberFormat="1" applyFont="1" applyFill="1" applyBorder="1"/>
    <xf numFmtId="3" fontId="1" fillId="0" borderId="67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15" xfId="0" applyNumberFormat="1" applyFont="1" applyFill="1" applyBorder="1"/>
    <xf numFmtId="3" fontId="9" fillId="3" borderId="18" xfId="0" applyNumberFormat="1" applyFont="1" applyFill="1" applyBorder="1" applyAlignment="1">
      <alignment vertical="center"/>
    </xf>
    <xf numFmtId="3" fontId="9" fillId="3" borderId="68" xfId="0" applyNumberFormat="1" applyFont="1" applyFill="1" applyBorder="1" applyAlignment="1">
      <alignment vertical="center"/>
    </xf>
    <xf numFmtId="3" fontId="9" fillId="3" borderId="67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/>
    <xf numFmtId="3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65" xfId="0" applyNumberFormat="1" applyFont="1" applyFill="1" applyBorder="1"/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0" fillId="0" borderId="14" xfId="0" applyNumberFormat="1" applyBorder="1"/>
    <xf numFmtId="3" fontId="9" fillId="3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9" fontId="3" fillId="6" borderId="15" xfId="0" applyNumberFormat="1" applyFont="1" applyFill="1" applyBorder="1" applyAlignment="1">
      <alignment horizontal="center"/>
    </xf>
    <xf numFmtId="0" fontId="17" fillId="6" borderId="43" xfId="0" applyFont="1" applyFill="1" applyBorder="1" applyAlignment="1">
      <alignment horizontal="center"/>
    </xf>
    <xf numFmtId="49" fontId="3" fillId="6" borderId="15" xfId="0" applyNumberFormat="1" applyFont="1" applyFill="1" applyBorder="1" applyAlignment="1">
      <alignment horizontal="center"/>
    </xf>
    <xf numFmtId="0" fontId="31" fillId="8" borderId="0" xfId="0" applyFont="1" applyFill="1" applyAlignment="1">
      <alignment horizontal="right"/>
    </xf>
    <xf numFmtId="0" fontId="3" fillId="2" borderId="18" xfId="0" applyFon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0" fontId="23" fillId="2" borderId="0" xfId="0" applyFont="1" applyFill="1" applyBorder="1" applyAlignment="1">
      <alignment horizontal="center"/>
    </xf>
    <xf numFmtId="3" fontId="6" fillId="2" borderId="22" xfId="0" applyNumberFormat="1" applyFont="1" applyFill="1" applyBorder="1"/>
    <xf numFmtId="9" fontId="11" fillId="0" borderId="60" xfId="0" applyNumberFormat="1" applyFont="1" applyBorder="1" applyAlignment="1">
      <alignment horizontal="right" readingOrder="2"/>
    </xf>
    <xf numFmtId="3" fontId="11" fillId="0" borderId="39" xfId="0" applyNumberFormat="1" applyFont="1" applyBorder="1" applyAlignment="1">
      <alignment horizontal="right"/>
    </xf>
    <xf numFmtId="3" fontId="11" fillId="0" borderId="39" xfId="0" applyNumberFormat="1" applyFont="1" applyBorder="1"/>
    <xf numFmtId="9" fontId="11" fillId="0" borderId="14" xfId="0" applyNumberFormat="1" applyFont="1" applyBorder="1" applyAlignment="1">
      <alignment horizontal="right" readingOrder="2"/>
    </xf>
    <xf numFmtId="3" fontId="11" fillId="0" borderId="14" xfId="0" applyNumberFormat="1" applyFont="1" applyBorder="1" applyAlignment="1">
      <alignment horizontal="right"/>
    </xf>
    <xf numFmtId="3" fontId="11" fillId="0" borderId="14" xfId="0" applyNumberFormat="1" applyFont="1" applyBorder="1"/>
    <xf numFmtId="9" fontId="11" fillId="0" borderId="14" xfId="0" applyNumberFormat="1" applyFont="1" applyFill="1" applyBorder="1" applyAlignment="1">
      <alignment horizontal="right" readingOrder="2"/>
    </xf>
    <xf numFmtId="0" fontId="5" fillId="0" borderId="38" xfId="0" applyFont="1" applyFill="1" applyBorder="1" applyAlignment="1">
      <alignment horizontal="center"/>
    </xf>
    <xf numFmtId="0" fontId="42" fillId="0" borderId="38" xfId="0" applyFont="1" applyBorder="1"/>
    <xf numFmtId="0" fontId="0" fillId="0" borderId="38" xfId="0" applyBorder="1"/>
    <xf numFmtId="0" fontId="10" fillId="6" borderId="5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right"/>
    </xf>
    <xf numFmtId="0" fontId="1" fillId="3" borderId="13" xfId="0" applyFont="1" applyFill="1" applyBorder="1"/>
    <xf numFmtId="0" fontId="1" fillId="3" borderId="41" xfId="0" applyFont="1" applyFill="1" applyBorder="1"/>
    <xf numFmtId="3" fontId="13" fillId="0" borderId="15" xfId="0" applyNumberFormat="1" applyFont="1" applyBorder="1"/>
    <xf numFmtId="3" fontId="11" fillId="7" borderId="69" xfId="0" applyNumberFormat="1" applyFont="1" applyFill="1" applyBorder="1"/>
    <xf numFmtId="3" fontId="1" fillId="3" borderId="15" xfId="0" applyNumberFormat="1" applyFont="1" applyFill="1" applyBorder="1"/>
    <xf numFmtId="3" fontId="1" fillId="3" borderId="43" xfId="0" applyNumberFormat="1" applyFont="1" applyFill="1" applyBorder="1"/>
    <xf numFmtId="3" fontId="1" fillId="3" borderId="45" xfId="0" applyNumberFormat="1" applyFont="1" applyFill="1" applyBorder="1"/>
    <xf numFmtId="0" fontId="20" fillId="6" borderId="26" xfId="0" applyFont="1" applyFill="1" applyBorder="1" applyAlignment="1">
      <alignment horizontal="center"/>
    </xf>
    <xf numFmtId="0" fontId="20" fillId="6" borderId="45" xfId="0" applyFont="1" applyFill="1" applyBorder="1" applyAlignment="1">
      <alignment horizontal="center"/>
    </xf>
    <xf numFmtId="0" fontId="20" fillId="6" borderId="26" xfId="0" applyFont="1" applyFill="1" applyBorder="1"/>
    <xf numFmtId="0" fontId="20" fillId="6" borderId="26" xfId="0" applyFont="1" applyFill="1" applyBorder="1" applyAlignment="1">
      <alignment horizontal="center" wrapText="1"/>
    </xf>
    <xf numFmtId="164" fontId="10" fillId="0" borderId="56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165" fontId="3" fillId="6" borderId="26" xfId="0" applyNumberFormat="1" applyFont="1" applyFill="1" applyBorder="1"/>
    <xf numFmtId="165" fontId="20" fillId="6" borderId="26" xfId="0" applyNumberFormat="1" applyFont="1" applyFill="1" applyBorder="1" applyAlignment="1">
      <alignment horizontal="center"/>
    </xf>
    <xf numFmtId="165" fontId="20" fillId="6" borderId="25" xfId="0" applyNumberFormat="1" applyFont="1" applyFill="1" applyBorder="1" applyAlignment="1">
      <alignment horizontal="center"/>
    </xf>
    <xf numFmtId="165" fontId="20" fillId="6" borderId="26" xfId="0" applyNumberFormat="1" applyFont="1" applyFill="1" applyBorder="1"/>
    <xf numFmtId="165" fontId="20" fillId="6" borderId="26" xfId="0" applyNumberFormat="1" applyFont="1" applyFill="1" applyBorder="1" applyAlignment="1">
      <alignment horizontal="center" wrapText="1"/>
    </xf>
    <xf numFmtId="165" fontId="10" fillId="6" borderId="55" xfId="0" applyNumberFormat="1" applyFont="1" applyFill="1" applyBorder="1" applyAlignment="1">
      <alignment horizontal="center" vertical="center" wrapText="1"/>
    </xf>
    <xf numFmtId="165" fontId="3" fillId="6" borderId="13" xfId="0" applyNumberFormat="1" applyFont="1" applyFill="1" applyBorder="1" applyAlignment="1">
      <alignment horizontal="center"/>
    </xf>
    <xf numFmtId="165" fontId="3" fillId="6" borderId="14" xfId="0" applyNumberFormat="1" applyFont="1" applyFill="1" applyBorder="1" applyAlignment="1">
      <alignment horizontal="center"/>
    </xf>
    <xf numFmtId="165" fontId="10" fillId="0" borderId="26" xfId="0" applyNumberFormat="1" applyFont="1" applyBorder="1" applyAlignment="1">
      <alignment horizontal="center" vertical="center" wrapText="1"/>
    </xf>
    <xf numFmtId="165" fontId="3" fillId="6" borderId="15" xfId="0" applyNumberFormat="1" applyFont="1" applyFill="1" applyBorder="1" applyAlignment="1">
      <alignment horizontal="center"/>
    </xf>
    <xf numFmtId="165" fontId="10" fillId="0" borderId="14" xfId="0" applyNumberFormat="1" applyFont="1" applyBorder="1" applyAlignment="1">
      <alignment horizontal="center" vertical="center" wrapText="1"/>
    </xf>
    <xf numFmtId="165" fontId="18" fillId="0" borderId="15" xfId="0" applyNumberFormat="1" applyFont="1" applyBorder="1"/>
    <xf numFmtId="165" fontId="10" fillId="6" borderId="31" xfId="0" applyNumberFormat="1" applyFont="1" applyFill="1" applyBorder="1" applyAlignment="1">
      <alignment horizontal="center" vertical="center" wrapText="1"/>
    </xf>
    <xf numFmtId="165" fontId="17" fillId="6" borderId="41" xfId="0" applyNumberFormat="1" applyFont="1" applyFill="1" applyBorder="1" applyAlignment="1">
      <alignment horizontal="center"/>
    </xf>
    <xf numFmtId="165" fontId="17" fillId="6" borderId="42" xfId="0" applyNumberFormat="1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 horizontal="right"/>
    </xf>
    <xf numFmtId="165" fontId="3" fillId="3" borderId="26" xfId="0" applyNumberFormat="1" applyFont="1" applyFill="1" applyBorder="1"/>
    <xf numFmtId="165" fontId="3" fillId="3" borderId="60" xfId="0" applyNumberFormat="1" applyFont="1" applyFill="1" applyBorder="1" applyAlignment="1">
      <alignment horizontal="center"/>
    </xf>
    <xf numFmtId="165" fontId="3" fillId="3" borderId="39" xfId="0" applyNumberFormat="1" applyFont="1" applyFill="1" applyBorder="1" applyAlignment="1">
      <alignment horizontal="center"/>
    </xf>
    <xf numFmtId="165" fontId="3" fillId="3" borderId="45" xfId="0" applyNumberFormat="1" applyFont="1" applyFill="1" applyBorder="1"/>
    <xf numFmtId="165" fontId="1" fillId="3" borderId="14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1" fillId="3" borderId="42" xfId="0" applyNumberFormat="1" applyFont="1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/>
    </xf>
    <xf numFmtId="165" fontId="1" fillId="0" borderId="41" xfId="0" applyNumberFormat="1" applyFont="1" applyFill="1" applyBorder="1" applyAlignment="1">
      <alignment horizontal="center"/>
    </xf>
    <xf numFmtId="165" fontId="1" fillId="3" borderId="26" xfId="0" applyNumberFormat="1" applyFont="1" applyFill="1" applyBorder="1" applyAlignment="1">
      <alignment horizontal="center"/>
    </xf>
    <xf numFmtId="165" fontId="1" fillId="3" borderId="45" xfId="0" applyNumberFormat="1" applyFont="1" applyFill="1" applyBorder="1" applyAlignment="1">
      <alignment horizontal="center"/>
    </xf>
    <xf numFmtId="165" fontId="1" fillId="3" borderId="25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5" fontId="1" fillId="3" borderId="26" xfId="0" applyNumberFormat="1" applyFont="1" applyFill="1" applyBorder="1"/>
    <xf numFmtId="165" fontId="1" fillId="3" borderId="45" xfId="0" applyNumberFormat="1" applyFont="1" applyFill="1" applyBorder="1"/>
    <xf numFmtId="165" fontId="1" fillId="3" borderId="15" xfId="0" applyNumberFormat="1" applyFont="1" applyFill="1" applyBorder="1" applyAlignment="1">
      <alignment horizontal="center"/>
    </xf>
    <xf numFmtId="165" fontId="0" fillId="0" borderId="14" xfId="0" applyNumberFormat="1" applyBorder="1"/>
    <xf numFmtId="165" fontId="1" fillId="0" borderId="31" xfId="0" applyNumberFormat="1" applyFont="1" applyFill="1" applyBorder="1" applyAlignment="1">
      <alignment horizontal="center"/>
    </xf>
    <xf numFmtId="165" fontId="1" fillId="3" borderId="32" xfId="0" applyNumberFormat="1" applyFont="1" applyFill="1" applyBorder="1" applyAlignment="1">
      <alignment horizontal="center"/>
    </xf>
    <xf numFmtId="165" fontId="34" fillId="0" borderId="0" xfId="0" applyNumberFormat="1" applyFont="1"/>
    <xf numFmtId="165" fontId="34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left"/>
    </xf>
    <xf numFmtId="165" fontId="31" fillId="0" borderId="0" xfId="0" applyNumberFormat="1" applyFont="1"/>
    <xf numFmtId="165" fontId="31" fillId="0" borderId="0" xfId="0" applyNumberFormat="1" applyFont="1" applyAlignment="1">
      <alignment horizontal="right"/>
    </xf>
    <xf numFmtId="165" fontId="31" fillId="8" borderId="0" xfId="0" applyNumberFormat="1" applyFont="1" applyFill="1" applyAlignment="1">
      <alignment horizontal="righ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 readingOrder="2"/>
    </xf>
    <xf numFmtId="0" fontId="29" fillId="0" borderId="15" xfId="0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3" fillId="2" borderId="63" xfId="0" applyNumberFormat="1" applyFont="1" applyFill="1" applyBorder="1" applyAlignment="1">
      <alignment horizontal="right"/>
    </xf>
    <xf numFmtId="3" fontId="3" fillId="2" borderId="62" xfId="0" applyNumberFormat="1" applyFont="1" applyFill="1" applyBorder="1" applyAlignment="1">
      <alignment horizontal="right"/>
    </xf>
    <xf numFmtId="3" fontId="13" fillId="0" borderId="58" xfId="0" applyNumberFormat="1" applyFont="1" applyBorder="1" applyAlignment="1">
      <alignment horizontal="center" readingOrder="2"/>
    </xf>
    <xf numFmtId="3" fontId="13" fillId="0" borderId="0" xfId="0" applyNumberFormat="1" applyFont="1" applyBorder="1" applyAlignment="1">
      <alignment horizontal="center" readingOrder="2"/>
    </xf>
    <xf numFmtId="0" fontId="14" fillId="0" borderId="14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13" fillId="2" borderId="15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readingOrder="2"/>
    </xf>
    <xf numFmtId="0" fontId="6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190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itleRegion1.b51.n64.1" displayName="TitleRegion1.b51.n64.1" ref="B51:N64" totalsRowShown="0" dataDxfId="14" tableBorderDxfId="13">
  <autoFilter ref="B51:N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אגודה" dataDxfId="12"/>
    <tableColumn id="2" name="ריק במקור" dataDxfId="11"/>
    <tableColumn id="3" name="נוער/נערות" dataDxfId="10"/>
    <tableColumn id="4" name="ריק במקור2" dataDxfId="9"/>
    <tableColumn id="5" name="ריק במקור3" dataDxfId="8"/>
    <tableColumn id="6" name="נערים/ות" dataDxfId="7"/>
    <tableColumn id="7" name="ריק במקור4" dataDxfId="6"/>
    <tableColumn id="8" name="ילדים/ות" dataDxfId="5"/>
    <tableColumn id="9" name="טרום רגל/סל " dataDxfId="4"/>
    <tableColumn id="10" name="ריק במקור5" dataDxfId="3"/>
    <tableColumn id="11" name="ריק במקור6" dataDxfId="2"/>
    <tableColumn id="12" name="סך הניקוד" dataDxfId="1">
      <calculatedColumnFormula>SUM(C52:J52)</calculatedColumnFormula>
    </tableColumn>
    <tableColumn id="13" name="ההקצבות" dataDxfId="0">
      <calculatedColumnFormula>SUM(M52*$N$54)</calculatedColumnFormula>
    </tableColumn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id="2" name="TitleRegion1.a3.e12.1" displayName="TitleRegion1.a3.e12.1" ref="A3:E12" totalsRowShown="0">
  <autoFilter ref="A3:E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ענף"/>
    <tableColumn id="2" name="האגודה "/>
    <tableColumn id="3" name="ריק במקור"/>
    <tableColumn id="4" name="ריק במקור2"/>
    <tableColumn id="5" name="ריק במקור3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000"/>
  <sheetViews>
    <sheetView rightToLeft="1" tabSelected="1" view="pageBreakPreview" topLeftCell="I87" zoomScaleNormal="100" zoomScaleSheetLayoutView="100" workbookViewId="0">
      <selection activeCell="J91" sqref="J91"/>
    </sheetView>
  </sheetViews>
  <sheetFormatPr defaultColWidth="0" defaultRowHeight="14.25" zeroHeight="1" x14ac:dyDescent="0.2"/>
  <cols>
    <col min="1" max="1" width="3.75" customWidth="1"/>
    <col min="2" max="2" width="40.25" customWidth="1"/>
    <col min="3" max="3" width="19.125" customWidth="1"/>
    <col min="4" max="4" width="13" customWidth="1"/>
    <col min="5" max="6" width="10.25" customWidth="1"/>
    <col min="7" max="7" width="11.125" customWidth="1"/>
    <col min="8" max="8" width="10.25" customWidth="1"/>
    <col min="9" max="9" width="10.75" customWidth="1"/>
    <col min="10" max="10" width="15.625" customWidth="1"/>
    <col min="11" max="11" width="10.25" customWidth="1"/>
    <col min="12" max="12" width="13.5" customWidth="1"/>
    <col min="13" max="13" width="13.375" customWidth="1"/>
    <col min="14" max="14" width="14.375" customWidth="1"/>
    <col min="15" max="15" width="14.125" customWidth="1"/>
    <col min="16" max="16" width="14.5" customWidth="1"/>
    <col min="17" max="19" width="9" customWidth="1"/>
    <col min="20" max="52" width="0" hidden="1" customWidth="1"/>
    <col min="53" max="16384" width="9" hidden="1"/>
  </cols>
  <sheetData>
    <row r="1" spans="1:16" ht="27.75" x14ac:dyDescent="0.4">
      <c r="A1" s="1"/>
      <c r="B1" s="2"/>
      <c r="D1" s="284"/>
      <c r="E1" s="282"/>
      <c r="F1" s="282"/>
      <c r="G1" s="282" t="s">
        <v>119</v>
      </c>
      <c r="H1" s="282"/>
      <c r="I1" s="282"/>
      <c r="J1" s="283"/>
      <c r="K1" s="1"/>
      <c r="L1" s="1"/>
      <c r="M1" s="4"/>
      <c r="N1" s="5" t="s">
        <v>118</v>
      </c>
      <c r="O1" s="5"/>
    </row>
    <row r="2" spans="1:16" ht="18" x14ac:dyDescent="0.25">
      <c r="A2" s="1"/>
      <c r="B2" s="2"/>
      <c r="C2" s="3"/>
      <c r="D2" s="3"/>
      <c r="E2" s="3"/>
      <c r="F2" s="3"/>
      <c r="G2" s="3"/>
      <c r="H2" s="1"/>
      <c r="I2" s="1"/>
      <c r="J2" s="1"/>
      <c r="K2" s="1"/>
      <c r="L2" s="1"/>
      <c r="M2" s="4"/>
      <c r="N2" s="5"/>
      <c r="O2" s="5"/>
    </row>
    <row r="3" spans="1:16" ht="36" thickBot="1" x14ac:dyDescent="0.25">
      <c r="A3" s="1"/>
      <c r="B3" s="356" t="s">
        <v>98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226"/>
    </row>
    <row r="4" spans="1:16" ht="24" thickBot="1" x14ac:dyDescent="0.4">
      <c r="A4" s="1"/>
      <c r="B4" s="358" t="s">
        <v>0</v>
      </c>
      <c r="C4" s="6"/>
      <c r="D4" s="360" t="s">
        <v>1</v>
      </c>
      <c r="E4" s="361"/>
      <c r="F4" s="362"/>
      <c r="G4" s="362"/>
      <c r="H4" s="362"/>
      <c r="I4" s="362"/>
      <c r="J4" s="362"/>
      <c r="K4" s="362"/>
      <c r="L4" s="363"/>
      <c r="M4" s="7" t="s">
        <v>2</v>
      </c>
      <c r="N4" s="238" t="s">
        <v>3</v>
      </c>
      <c r="O4" s="254" t="s">
        <v>114</v>
      </c>
      <c r="P4" s="254" t="s">
        <v>115</v>
      </c>
    </row>
    <row r="5" spans="1:16" ht="20.25" x14ac:dyDescent="0.3">
      <c r="A5" s="1"/>
      <c r="B5" s="359"/>
      <c r="C5" s="6"/>
      <c r="D5" s="364" t="s">
        <v>4</v>
      </c>
      <c r="E5" s="365"/>
      <c r="F5" s="365"/>
      <c r="G5" s="365"/>
      <c r="H5" s="366"/>
      <c r="I5" s="364" t="s">
        <v>5</v>
      </c>
      <c r="J5" s="367"/>
      <c r="K5" s="367"/>
      <c r="L5" s="368"/>
      <c r="M5" s="8"/>
      <c r="N5" s="239">
        <f>M73</f>
        <v>3217728.1130576003</v>
      </c>
      <c r="O5" s="255"/>
      <c r="P5" s="192"/>
    </row>
    <row r="6" spans="1:16" ht="20.25" x14ac:dyDescent="0.3">
      <c r="A6" s="1"/>
      <c r="B6" s="359"/>
      <c r="C6" s="9" t="s">
        <v>6</v>
      </c>
      <c r="D6" s="10">
        <v>5</v>
      </c>
      <c r="E6" s="11">
        <v>4</v>
      </c>
      <c r="F6" s="11">
        <v>3</v>
      </c>
      <c r="G6" s="12">
        <v>2</v>
      </c>
      <c r="H6" s="12">
        <v>1</v>
      </c>
      <c r="I6" s="13"/>
      <c r="J6" s="14"/>
      <c r="K6" s="14"/>
      <c r="L6" s="15"/>
      <c r="M6" s="8"/>
      <c r="N6" s="239"/>
      <c r="O6" s="255"/>
      <c r="P6" s="192"/>
    </row>
    <row r="7" spans="1:16" ht="20.25" x14ac:dyDescent="0.25">
      <c r="A7" s="1"/>
      <c r="B7" s="359"/>
      <c r="C7" s="9" t="s">
        <v>7</v>
      </c>
      <c r="D7" s="369">
        <v>1</v>
      </c>
      <c r="E7" s="365"/>
      <c r="F7" s="365"/>
      <c r="G7" s="365"/>
      <c r="H7" s="366"/>
      <c r="I7" s="16">
        <v>2</v>
      </c>
      <c r="J7" s="17">
        <v>3</v>
      </c>
      <c r="K7" s="17">
        <v>4</v>
      </c>
      <c r="L7" s="18">
        <v>5</v>
      </c>
      <c r="M7" s="8"/>
      <c r="N7" s="240"/>
      <c r="O7" s="256"/>
      <c r="P7" s="192"/>
    </row>
    <row r="8" spans="1:16" ht="16.5" thickBot="1" x14ac:dyDescent="0.3">
      <c r="A8" s="1"/>
      <c r="B8" s="359"/>
      <c r="C8" s="9" t="s">
        <v>8</v>
      </c>
      <c r="D8" s="19">
        <v>400</v>
      </c>
      <c r="E8" s="20">
        <v>240</v>
      </c>
      <c r="F8" s="20">
        <v>160</v>
      </c>
      <c r="G8" s="21">
        <v>80</v>
      </c>
      <c r="H8" s="12">
        <v>60</v>
      </c>
      <c r="I8" s="20">
        <v>240</v>
      </c>
      <c r="J8" s="21">
        <v>80</v>
      </c>
      <c r="K8" s="21">
        <v>32</v>
      </c>
      <c r="L8" s="22">
        <v>4</v>
      </c>
      <c r="M8" s="23" t="s">
        <v>9</v>
      </c>
      <c r="N8" s="241">
        <f>N5/M45</f>
        <v>1534.929026891635</v>
      </c>
      <c r="O8" s="257"/>
      <c r="P8" s="192"/>
    </row>
    <row r="9" spans="1:16" ht="21.75" thickTop="1" thickBot="1" x14ac:dyDescent="0.3">
      <c r="A9" s="1"/>
      <c r="B9" s="24"/>
      <c r="C9" s="141" t="s">
        <v>10</v>
      </c>
      <c r="D9" s="25">
        <v>1</v>
      </c>
      <c r="E9" s="25">
        <v>0.6</v>
      </c>
      <c r="F9" s="25">
        <v>0.4</v>
      </c>
      <c r="G9" s="26">
        <v>0.2</v>
      </c>
      <c r="H9" s="26">
        <v>0.15</v>
      </c>
      <c r="I9" s="25">
        <v>0.6</v>
      </c>
      <c r="J9" s="26">
        <v>0.2</v>
      </c>
      <c r="K9" s="26">
        <v>0.08</v>
      </c>
      <c r="L9" s="27">
        <v>0.01</v>
      </c>
      <c r="M9" s="28"/>
      <c r="N9" s="242"/>
      <c r="O9" s="257"/>
      <c r="P9" s="192"/>
    </row>
    <row r="10" spans="1:16" ht="16.5" thickTop="1" x14ac:dyDescent="0.25">
      <c r="A10" s="29"/>
      <c r="B10" s="355" t="s">
        <v>12</v>
      </c>
      <c r="C10" s="355"/>
      <c r="D10" s="133"/>
      <c r="E10" s="37"/>
      <c r="F10" s="37"/>
      <c r="G10" s="38"/>
      <c r="H10" s="38"/>
      <c r="I10" s="38"/>
      <c r="J10" s="38"/>
      <c r="K10" s="38"/>
      <c r="L10" s="39"/>
      <c r="M10" s="40"/>
      <c r="N10" s="243"/>
      <c r="O10" s="140"/>
      <c r="P10" s="192"/>
    </row>
    <row r="11" spans="1:16" ht="15.75" thickBot="1" x14ac:dyDescent="0.25">
      <c r="A11" s="1"/>
      <c r="B11" s="138" t="s">
        <v>69</v>
      </c>
      <c r="C11" s="138" t="s">
        <v>13</v>
      </c>
      <c r="D11" s="133"/>
      <c r="E11" s="37"/>
      <c r="F11" s="37">
        <v>240</v>
      </c>
      <c r="G11" s="41"/>
      <c r="H11" s="41"/>
      <c r="I11" s="41"/>
      <c r="J11" s="41"/>
      <c r="K11" s="38"/>
      <c r="L11" s="39"/>
      <c r="M11" s="40"/>
      <c r="N11" s="244">
        <f t="shared" ref="N11:N17" si="0">M11*$N$8</f>
        <v>0</v>
      </c>
      <c r="O11" s="140"/>
      <c r="P11" s="192"/>
    </row>
    <row r="12" spans="1:16" ht="15.75" x14ac:dyDescent="0.25">
      <c r="A12" s="29"/>
      <c r="B12" s="355" t="s">
        <v>14</v>
      </c>
      <c r="C12" s="355"/>
      <c r="D12" s="42"/>
      <c r="E12" s="42"/>
      <c r="F12" s="43"/>
      <c r="G12" s="43"/>
      <c r="H12" s="43"/>
      <c r="I12" s="43"/>
      <c r="J12" s="43"/>
      <c r="K12" s="43"/>
      <c r="L12" s="44"/>
      <c r="M12" s="45"/>
      <c r="N12" s="243"/>
      <c r="O12" s="140"/>
      <c r="P12" s="192"/>
    </row>
    <row r="13" spans="1:16" ht="15" x14ac:dyDescent="0.2">
      <c r="A13" s="1"/>
      <c r="B13" s="138" t="s">
        <v>67</v>
      </c>
      <c r="C13" s="138" t="s">
        <v>11</v>
      </c>
      <c r="D13" s="217">
        <f>600+(500000/'הסבר ניקוד מצינג'!D15)</f>
        <v>966.33674045097723</v>
      </c>
      <c r="E13" s="37"/>
      <c r="F13" s="37"/>
      <c r="G13" s="38"/>
      <c r="H13" s="38"/>
      <c r="I13" s="38"/>
      <c r="J13" s="38"/>
      <c r="K13" s="38"/>
      <c r="L13" s="39"/>
      <c r="M13" s="40">
        <f>SUM(D13:L13)</f>
        <v>966.33674045097723</v>
      </c>
      <c r="N13" s="243">
        <f>M13*$N$8</f>
        <v>1483258.312670053</v>
      </c>
      <c r="O13" s="140">
        <v>1318919</v>
      </c>
      <c r="P13" s="258">
        <f>N13-O13</f>
        <v>164339.31267005298</v>
      </c>
    </row>
    <row r="14" spans="1:16" ht="15.75" x14ac:dyDescent="0.25">
      <c r="A14" s="29"/>
      <c r="B14" s="355" t="s">
        <v>15</v>
      </c>
      <c r="C14" s="355"/>
      <c r="D14" s="133"/>
      <c r="E14" s="37"/>
      <c r="F14" s="37"/>
      <c r="G14" s="38"/>
      <c r="H14" s="38"/>
      <c r="I14" s="38"/>
      <c r="J14" s="38"/>
      <c r="K14" s="38"/>
      <c r="L14" s="39"/>
      <c r="M14" s="40"/>
      <c r="N14" s="243"/>
      <c r="O14" s="140"/>
      <c r="P14" s="258"/>
    </row>
    <row r="15" spans="1:16" ht="15" x14ac:dyDescent="0.2">
      <c r="A15" s="1"/>
      <c r="B15" s="138" t="s">
        <v>68</v>
      </c>
      <c r="C15" s="138" t="s">
        <v>13</v>
      </c>
      <c r="D15" s="133"/>
      <c r="E15" s="37">
        <v>360</v>
      </c>
      <c r="F15" s="37"/>
      <c r="G15" s="38"/>
      <c r="H15" s="38"/>
      <c r="I15" s="38"/>
      <c r="J15" s="38"/>
      <c r="K15" s="38"/>
      <c r="L15" s="39"/>
      <c r="M15" s="40">
        <f>SUM(D15:L15)</f>
        <v>360</v>
      </c>
      <c r="N15" s="243">
        <f t="shared" si="0"/>
        <v>552574.44968098856</v>
      </c>
      <c r="O15" s="140">
        <v>491351</v>
      </c>
      <c r="P15" s="258">
        <f t="shared" ref="P15:P43" si="1">N15-O15</f>
        <v>61223.44968098856</v>
      </c>
    </row>
    <row r="16" spans="1:16" ht="15.75" x14ac:dyDescent="0.25">
      <c r="A16" s="1"/>
      <c r="B16" s="355" t="s">
        <v>16</v>
      </c>
      <c r="C16" s="355"/>
      <c r="D16" s="133"/>
      <c r="E16" s="37"/>
      <c r="F16" s="37"/>
      <c r="G16" s="38"/>
      <c r="H16" s="38"/>
      <c r="I16" s="38"/>
      <c r="J16" s="38"/>
      <c r="K16" s="38"/>
      <c r="L16" s="39"/>
      <c r="M16" s="50"/>
      <c r="N16" s="243"/>
      <c r="O16" s="140"/>
      <c r="P16" s="258"/>
    </row>
    <row r="17" spans="1:16" ht="15.75" thickBot="1" x14ac:dyDescent="0.25">
      <c r="A17" s="1"/>
      <c r="B17" s="138" t="s">
        <v>56</v>
      </c>
      <c r="C17" s="138" t="s">
        <v>11</v>
      </c>
      <c r="D17" s="132"/>
      <c r="E17" s="46"/>
      <c r="F17" s="46">
        <v>160</v>
      </c>
      <c r="G17" s="47"/>
      <c r="H17" s="47"/>
      <c r="I17" s="47"/>
      <c r="J17" s="47"/>
      <c r="K17" s="47"/>
      <c r="L17" s="34"/>
      <c r="M17" s="199">
        <f>SUM(D17:L17)</f>
        <v>160</v>
      </c>
      <c r="N17" s="245">
        <f t="shared" si="0"/>
        <v>245588.64430266159</v>
      </c>
      <c r="O17" s="140">
        <v>218378</v>
      </c>
      <c r="P17" s="258">
        <f t="shared" si="1"/>
        <v>27210.644302661589</v>
      </c>
    </row>
    <row r="18" spans="1:16" ht="15.75" x14ac:dyDescent="0.25">
      <c r="A18" s="1"/>
      <c r="B18" s="355" t="s">
        <v>17</v>
      </c>
      <c r="C18" s="355"/>
      <c r="D18" s="133"/>
      <c r="E18" s="37"/>
      <c r="F18" s="37"/>
      <c r="G18" s="38"/>
      <c r="H18" s="38"/>
      <c r="I18" s="38"/>
      <c r="J18" s="38"/>
      <c r="K18" s="38"/>
      <c r="L18" s="198"/>
      <c r="M18" s="201"/>
      <c r="N18" s="246"/>
      <c r="O18" s="140"/>
      <c r="P18" s="258"/>
    </row>
    <row r="19" spans="1:16" ht="15" x14ac:dyDescent="0.2">
      <c r="A19" s="1"/>
      <c r="B19" s="138" t="s">
        <v>56</v>
      </c>
      <c r="C19" s="138" t="s">
        <v>13</v>
      </c>
      <c r="D19" s="30"/>
      <c r="E19" s="30"/>
      <c r="F19" s="30"/>
      <c r="G19" s="30"/>
      <c r="H19" s="30">
        <v>90</v>
      </c>
      <c r="I19" s="30"/>
      <c r="J19" s="30"/>
      <c r="K19" s="30"/>
      <c r="L19" s="30"/>
      <c r="M19" s="139">
        <f>SUM(D19:L19)</f>
        <v>90</v>
      </c>
      <c r="N19" s="246">
        <f t="shared" ref="N19" si="2">M19*$N$8</f>
        <v>138143.61242024714</v>
      </c>
      <c r="O19" s="140">
        <v>122838</v>
      </c>
      <c r="P19" s="258">
        <f t="shared" si="1"/>
        <v>15305.61242024714</v>
      </c>
    </row>
    <row r="20" spans="1:16" ht="23.25" x14ac:dyDescent="0.35">
      <c r="A20" s="1"/>
      <c r="B20" s="374" t="s">
        <v>0</v>
      </c>
      <c r="C20" s="142"/>
      <c r="D20" s="370" t="s">
        <v>18</v>
      </c>
      <c r="E20" s="371"/>
      <c r="F20" s="371"/>
      <c r="G20" s="371"/>
      <c r="H20" s="371"/>
      <c r="I20" s="371"/>
      <c r="J20" s="371"/>
      <c r="K20" s="371"/>
      <c r="L20" s="372"/>
      <c r="M20" s="57"/>
      <c r="N20" s="247"/>
      <c r="O20" s="259"/>
      <c r="P20" s="258"/>
    </row>
    <row r="21" spans="1:16" ht="20.25" x14ac:dyDescent="0.25">
      <c r="A21" s="1"/>
      <c r="B21" s="374"/>
      <c r="C21" s="51" t="s">
        <v>7</v>
      </c>
      <c r="D21" s="52"/>
      <c r="E21" s="53" t="s">
        <v>19</v>
      </c>
      <c r="F21" s="54" t="s">
        <v>20</v>
      </c>
      <c r="G21" s="54" t="s">
        <v>21</v>
      </c>
      <c r="H21" s="55" t="s">
        <v>22</v>
      </c>
      <c r="I21" s="56"/>
      <c r="J21" s="56"/>
      <c r="K21" s="54"/>
      <c r="L21" s="55"/>
      <c r="M21" s="57"/>
      <c r="N21" s="247"/>
      <c r="O21" s="259"/>
      <c r="P21" s="258"/>
    </row>
    <row r="22" spans="1:16" ht="21" thickBot="1" x14ac:dyDescent="0.3">
      <c r="A22" s="1"/>
      <c r="B22" s="374"/>
      <c r="C22" s="58" t="s">
        <v>10</v>
      </c>
      <c r="D22" s="59"/>
      <c r="E22" s="25">
        <v>0.34</v>
      </c>
      <c r="F22" s="26">
        <v>0.17</v>
      </c>
      <c r="G22" s="26">
        <v>0.04</v>
      </c>
      <c r="H22" s="27">
        <v>0.01</v>
      </c>
      <c r="I22" s="60"/>
      <c r="J22" s="60"/>
      <c r="K22" s="26"/>
      <c r="L22" s="27"/>
      <c r="M22" s="61"/>
      <c r="N22" s="248"/>
      <c r="O22" s="259"/>
      <c r="P22" s="258"/>
    </row>
    <row r="23" spans="1:16" ht="21.75" thickTop="1" thickBot="1" x14ac:dyDescent="0.3">
      <c r="A23" s="1"/>
      <c r="B23" s="375"/>
      <c r="C23" s="143" t="s">
        <v>8</v>
      </c>
      <c r="D23" s="59"/>
      <c r="E23" s="62">
        <v>136</v>
      </c>
      <c r="F23" s="63">
        <v>68</v>
      </c>
      <c r="G23" s="64">
        <v>16</v>
      </c>
      <c r="H23" s="64">
        <v>4</v>
      </c>
      <c r="I23" s="59"/>
      <c r="J23" s="25"/>
      <c r="K23" s="26"/>
      <c r="L23" s="26"/>
      <c r="M23" s="57"/>
      <c r="N23" s="247"/>
      <c r="O23" s="259"/>
      <c r="P23" s="258"/>
    </row>
    <row r="24" spans="1:16" ht="21" thickTop="1" x14ac:dyDescent="0.25">
      <c r="A24" s="29"/>
      <c r="B24" s="373" t="s">
        <v>23</v>
      </c>
      <c r="C24" s="373"/>
      <c r="D24" s="65"/>
      <c r="E24" s="65"/>
      <c r="F24" s="66"/>
      <c r="G24" s="66"/>
      <c r="H24" s="39"/>
      <c r="I24" s="67"/>
      <c r="J24" s="67"/>
      <c r="K24" s="66"/>
      <c r="L24" s="39"/>
      <c r="M24" s="68"/>
      <c r="N24" s="249"/>
      <c r="O24" s="260"/>
      <c r="P24" s="258"/>
    </row>
    <row r="25" spans="1:16" ht="15.75" thickBot="1" x14ac:dyDescent="0.25">
      <c r="A25" s="1"/>
      <c r="B25" s="138" t="s">
        <v>57</v>
      </c>
      <c r="C25" s="138"/>
      <c r="D25" s="135"/>
      <c r="E25" s="130">
        <v>204</v>
      </c>
      <c r="F25" s="32"/>
      <c r="G25" s="32"/>
      <c r="H25" s="35"/>
      <c r="I25" s="33"/>
      <c r="J25" s="33"/>
      <c r="K25" s="32"/>
      <c r="L25" s="35"/>
      <c r="M25" s="36">
        <f>SUM(D25:H25)</f>
        <v>204</v>
      </c>
      <c r="N25" s="250">
        <f>M25*$N$8</f>
        <v>313125.52148589352</v>
      </c>
      <c r="O25" s="140">
        <v>278432</v>
      </c>
      <c r="P25" s="258">
        <f t="shared" si="1"/>
        <v>34693.521485893521</v>
      </c>
    </row>
    <row r="26" spans="1:16" ht="16.5" x14ac:dyDescent="0.25">
      <c r="A26" s="29"/>
      <c r="B26" s="355" t="s">
        <v>24</v>
      </c>
      <c r="C26" s="355"/>
      <c r="D26" s="69"/>
      <c r="E26" s="69"/>
      <c r="F26" s="70"/>
      <c r="G26" s="71"/>
      <c r="H26" s="72"/>
      <c r="I26" s="73"/>
      <c r="J26" s="73"/>
      <c r="K26" s="71"/>
      <c r="L26" s="72"/>
      <c r="M26" s="74"/>
      <c r="N26" s="251"/>
      <c r="O26" s="140"/>
      <c r="P26" s="258"/>
    </row>
    <row r="27" spans="1:16" ht="15.75" thickBot="1" x14ac:dyDescent="0.25">
      <c r="A27" s="1"/>
      <c r="B27" s="138" t="s">
        <v>62</v>
      </c>
      <c r="C27" s="138"/>
      <c r="D27" s="132"/>
      <c r="E27" s="46"/>
      <c r="F27" s="47">
        <v>68</v>
      </c>
      <c r="G27" s="47"/>
      <c r="H27" s="34"/>
      <c r="I27" s="48"/>
      <c r="J27" s="48"/>
      <c r="K27" s="47"/>
      <c r="L27" s="34"/>
      <c r="M27" s="75">
        <f>SUM(D27:H27)</f>
        <v>68</v>
      </c>
      <c r="N27" s="250">
        <f t="shared" ref="N27:N43" si="3">M27*$N$8</f>
        <v>104375.17382863117</v>
      </c>
      <c r="O27" s="140">
        <v>92811</v>
      </c>
      <c r="P27" s="258">
        <f t="shared" si="1"/>
        <v>11564.173828631174</v>
      </c>
    </row>
    <row r="28" spans="1:16" ht="15.75" x14ac:dyDescent="0.25">
      <c r="A28" s="1"/>
      <c r="B28" s="355" t="s">
        <v>25</v>
      </c>
      <c r="C28" s="355"/>
      <c r="D28" s="69"/>
      <c r="E28" s="69"/>
      <c r="F28" s="70"/>
      <c r="G28" s="70"/>
      <c r="H28" s="72"/>
      <c r="I28" s="73"/>
      <c r="J28" s="73"/>
      <c r="K28" s="70"/>
      <c r="L28" s="72"/>
      <c r="M28" s="76"/>
      <c r="N28" s="251"/>
      <c r="O28" s="140"/>
      <c r="P28" s="258"/>
    </row>
    <row r="29" spans="1:16" ht="15.75" thickBot="1" x14ac:dyDescent="0.25">
      <c r="A29" s="1"/>
      <c r="B29" s="138" t="s">
        <v>63</v>
      </c>
      <c r="C29" s="138"/>
      <c r="D29" s="132"/>
      <c r="E29" s="46"/>
      <c r="F29" s="47">
        <v>68</v>
      </c>
      <c r="G29" s="47"/>
      <c r="H29" s="34"/>
      <c r="I29" s="48"/>
      <c r="J29" s="48"/>
      <c r="K29" s="47"/>
      <c r="L29" s="34"/>
      <c r="M29" s="49">
        <f>SUM(D29:H29)</f>
        <v>68</v>
      </c>
      <c r="N29" s="250">
        <f t="shared" si="3"/>
        <v>104375.17382863117</v>
      </c>
      <c r="O29" s="140">
        <v>92811</v>
      </c>
      <c r="P29" s="258">
        <f t="shared" si="1"/>
        <v>11564.173828631174</v>
      </c>
    </row>
    <row r="30" spans="1:16" ht="16.5" thickBot="1" x14ac:dyDescent="0.3">
      <c r="A30" s="1"/>
      <c r="B30" s="355" t="s">
        <v>26</v>
      </c>
      <c r="C30" s="355"/>
      <c r="D30" s="77"/>
      <c r="E30" s="77"/>
      <c r="F30" s="78"/>
      <c r="G30" s="78"/>
      <c r="H30" s="79"/>
      <c r="I30" s="80"/>
      <c r="J30" s="80"/>
      <c r="K30" s="78"/>
      <c r="L30" s="79"/>
      <c r="M30" s="82"/>
      <c r="N30" s="250"/>
      <c r="O30" s="140"/>
      <c r="P30" s="258"/>
    </row>
    <row r="31" spans="1:16" ht="15.75" thickBot="1" x14ac:dyDescent="0.25">
      <c r="A31" s="1"/>
      <c r="B31" s="138" t="s">
        <v>64</v>
      </c>
      <c r="C31" s="138"/>
      <c r="D31" s="132"/>
      <c r="E31" s="46"/>
      <c r="F31" s="47"/>
      <c r="G31" s="47"/>
      <c r="H31" s="34">
        <v>4</v>
      </c>
      <c r="I31" s="48"/>
      <c r="J31" s="48"/>
      <c r="K31" s="47"/>
      <c r="L31" s="34"/>
      <c r="M31" s="75">
        <f>SUM(D31:H31)</f>
        <v>4</v>
      </c>
      <c r="N31" s="250">
        <f t="shared" si="3"/>
        <v>6139.7161075665399</v>
      </c>
      <c r="O31" s="140">
        <v>5459</v>
      </c>
      <c r="P31" s="258">
        <f t="shared" si="1"/>
        <v>680.7161075665399</v>
      </c>
    </row>
    <row r="32" spans="1:16" ht="16.5" x14ac:dyDescent="0.25">
      <c r="A32" s="1"/>
      <c r="B32" s="355" t="s">
        <v>27</v>
      </c>
      <c r="C32" s="355"/>
      <c r="D32" s="77"/>
      <c r="E32" s="77"/>
      <c r="F32" s="83"/>
      <c r="G32" s="83"/>
      <c r="H32" s="79"/>
      <c r="I32" s="80"/>
      <c r="J32" s="80"/>
      <c r="K32" s="83"/>
      <c r="L32" s="79"/>
      <c r="M32" s="84"/>
      <c r="N32" s="251"/>
      <c r="O32" s="140"/>
      <c r="P32" s="258"/>
    </row>
    <row r="33" spans="1:16" ht="15.75" thickBot="1" x14ac:dyDescent="0.25">
      <c r="A33" s="2"/>
      <c r="B33" s="144" t="s">
        <v>86</v>
      </c>
      <c r="C33" s="138"/>
      <c r="D33" s="132"/>
      <c r="E33" s="46"/>
      <c r="F33" s="129">
        <v>68</v>
      </c>
      <c r="G33" s="47"/>
      <c r="H33" s="34"/>
      <c r="I33" s="48"/>
      <c r="J33" s="48"/>
      <c r="K33" s="47"/>
      <c r="L33" s="34"/>
      <c r="M33" s="49">
        <f>SUM(D33:H33)</f>
        <v>68</v>
      </c>
      <c r="N33" s="250">
        <f t="shared" si="3"/>
        <v>104375.17382863117</v>
      </c>
      <c r="O33" s="140">
        <v>92811</v>
      </c>
      <c r="P33" s="258">
        <f t="shared" si="1"/>
        <v>11564.173828631174</v>
      </c>
    </row>
    <row r="34" spans="1:16" ht="15.75" x14ac:dyDescent="0.25">
      <c r="A34" s="29"/>
      <c r="B34" s="355" t="s">
        <v>28</v>
      </c>
      <c r="C34" s="355"/>
      <c r="D34" s="133"/>
      <c r="E34" s="37"/>
      <c r="F34" s="38"/>
      <c r="G34" s="38"/>
      <c r="H34" s="39"/>
      <c r="I34" s="67"/>
      <c r="J34" s="67"/>
      <c r="K34" s="38"/>
      <c r="L34" s="39"/>
      <c r="M34" s="50"/>
      <c r="N34" s="251"/>
      <c r="O34" s="140"/>
      <c r="P34" s="258"/>
    </row>
    <row r="35" spans="1:16" ht="15.75" thickBot="1" x14ac:dyDescent="0.25">
      <c r="A35" s="1"/>
      <c r="B35" s="144" t="s">
        <v>86</v>
      </c>
      <c r="C35" s="138"/>
      <c r="D35" s="135"/>
      <c r="E35" s="31"/>
      <c r="F35" s="32"/>
      <c r="G35" s="32"/>
      <c r="H35" s="35">
        <v>4</v>
      </c>
      <c r="I35" s="33"/>
      <c r="J35" s="33"/>
      <c r="K35" s="32"/>
      <c r="L35" s="35"/>
      <c r="M35" s="36">
        <f>SUM(D35:H35)</f>
        <v>4</v>
      </c>
      <c r="N35" s="250">
        <f t="shared" si="3"/>
        <v>6139.7161075665399</v>
      </c>
      <c r="O35" s="140">
        <v>5459</v>
      </c>
      <c r="P35" s="258">
        <f t="shared" si="1"/>
        <v>680.7161075665399</v>
      </c>
    </row>
    <row r="36" spans="1:16" ht="15.75" x14ac:dyDescent="0.25">
      <c r="A36" s="1"/>
      <c r="B36" s="355" t="s">
        <v>30</v>
      </c>
      <c r="C36" s="355"/>
      <c r="D36" s="42"/>
      <c r="E36" s="42"/>
      <c r="F36" s="43"/>
      <c r="G36" s="43"/>
      <c r="H36" s="85"/>
      <c r="I36" s="86"/>
      <c r="J36" s="86"/>
      <c r="K36" s="43"/>
      <c r="L36" s="85"/>
      <c r="M36" s="87"/>
      <c r="N36" s="251"/>
      <c r="O36" s="140"/>
      <c r="P36" s="258"/>
    </row>
    <row r="37" spans="1:16" ht="15" x14ac:dyDescent="0.2">
      <c r="A37" s="1"/>
      <c r="B37" s="138" t="s">
        <v>86</v>
      </c>
      <c r="C37" s="138"/>
      <c r="D37" s="77"/>
      <c r="E37" s="77"/>
      <c r="F37" s="78"/>
      <c r="G37" s="78">
        <v>16</v>
      </c>
      <c r="H37" s="79"/>
      <c r="I37" s="80"/>
      <c r="J37" s="80"/>
      <c r="K37" s="78"/>
      <c r="L37" s="79"/>
      <c r="M37" s="81">
        <f>SUM(D37:H37)</f>
        <v>16</v>
      </c>
      <c r="N37" s="252">
        <f t="shared" si="3"/>
        <v>24558.86443026616</v>
      </c>
      <c r="O37" s="140">
        <v>21838</v>
      </c>
      <c r="P37" s="258">
        <f t="shared" si="1"/>
        <v>2720.8644302661596</v>
      </c>
    </row>
    <row r="38" spans="1:16" ht="15.75" x14ac:dyDescent="0.25">
      <c r="A38" s="1"/>
      <c r="B38" s="347" t="s">
        <v>93</v>
      </c>
      <c r="C38" s="348"/>
      <c r="D38" s="134"/>
      <c r="E38" s="30"/>
      <c r="F38" s="30"/>
      <c r="G38" s="30"/>
      <c r="H38" s="30"/>
      <c r="I38" s="30"/>
      <c r="J38" s="30"/>
      <c r="K38" s="30"/>
      <c r="L38" s="30"/>
      <c r="M38" s="139"/>
      <c r="N38" s="246"/>
      <c r="O38" s="140"/>
      <c r="P38" s="258"/>
    </row>
    <row r="39" spans="1:16" ht="15" x14ac:dyDescent="0.2">
      <c r="A39" s="1"/>
      <c r="B39" s="138" t="s">
        <v>65</v>
      </c>
      <c r="C39" s="138"/>
      <c r="D39" s="30"/>
      <c r="E39" s="30"/>
      <c r="F39" s="30">
        <v>68</v>
      </c>
      <c r="G39" s="30"/>
      <c r="H39" s="30"/>
      <c r="I39" s="30"/>
      <c r="J39" s="30"/>
      <c r="K39" s="30"/>
      <c r="L39" s="30"/>
      <c r="M39" s="139">
        <f>SUM(D39:H39)</f>
        <v>68</v>
      </c>
      <c r="N39" s="246">
        <f>M39*$N$8</f>
        <v>104375.17382863117</v>
      </c>
      <c r="O39" s="140">
        <v>92811</v>
      </c>
      <c r="P39" s="258">
        <f t="shared" si="1"/>
        <v>11564.173828631174</v>
      </c>
    </row>
    <row r="40" spans="1:16" ht="15.75" x14ac:dyDescent="0.25">
      <c r="A40" s="1"/>
      <c r="B40" s="347" t="s">
        <v>29</v>
      </c>
      <c r="C40" s="348"/>
      <c r="D40" s="30"/>
      <c r="E40" s="30"/>
      <c r="F40" s="30"/>
      <c r="G40" s="30"/>
      <c r="H40" s="30"/>
      <c r="I40" s="30"/>
      <c r="J40" s="30"/>
      <c r="K40" s="30"/>
      <c r="L40" s="30"/>
      <c r="M40" s="139"/>
      <c r="N40" s="246"/>
      <c r="O40" s="140"/>
      <c r="P40" s="258"/>
    </row>
    <row r="41" spans="1:16" ht="15" x14ac:dyDescent="0.2">
      <c r="A41" s="1"/>
      <c r="B41" s="138" t="s">
        <v>65</v>
      </c>
      <c r="C41" s="138"/>
      <c r="D41" s="30"/>
      <c r="E41" s="30"/>
      <c r="F41" s="30"/>
      <c r="G41" s="30"/>
      <c r="H41" s="30">
        <v>4</v>
      </c>
      <c r="I41" s="30"/>
      <c r="J41" s="30"/>
      <c r="K41" s="30"/>
      <c r="L41" s="30"/>
      <c r="M41" s="139">
        <f>SUM(D41:H41)</f>
        <v>4</v>
      </c>
      <c r="N41" s="246">
        <f>M41*$N$8</f>
        <v>6139.7161075665399</v>
      </c>
      <c r="O41" s="140">
        <v>5459</v>
      </c>
      <c r="P41" s="258">
        <f t="shared" si="1"/>
        <v>680.7161075665399</v>
      </c>
    </row>
    <row r="42" spans="1:16" ht="15.75" x14ac:dyDescent="0.25">
      <c r="A42" s="1"/>
      <c r="B42" s="221" t="s">
        <v>31</v>
      </c>
      <c r="C42" s="138"/>
      <c r="D42" s="30"/>
      <c r="E42" s="30"/>
      <c r="F42" s="30"/>
      <c r="G42" s="30"/>
      <c r="H42" s="30"/>
      <c r="I42" s="30"/>
      <c r="J42" s="30"/>
      <c r="K42" s="30"/>
      <c r="L42" s="30"/>
      <c r="M42" s="139"/>
      <c r="N42" s="253"/>
      <c r="O42" s="140"/>
      <c r="P42" s="258"/>
    </row>
    <row r="43" spans="1:16" ht="15" x14ac:dyDescent="0.2">
      <c r="A43" s="1"/>
      <c r="B43" s="144" t="s">
        <v>66</v>
      </c>
      <c r="C43" s="138"/>
      <c r="D43" s="30"/>
      <c r="E43" s="30"/>
      <c r="F43" s="30"/>
      <c r="G43" s="30">
        <v>16</v>
      </c>
      <c r="H43" s="30"/>
      <c r="I43" s="30"/>
      <c r="J43" s="30"/>
      <c r="K43" s="30"/>
      <c r="L43" s="30"/>
      <c r="M43" s="139">
        <f>SUM(D43:H43)</f>
        <v>16</v>
      </c>
      <c r="N43" s="246">
        <f t="shared" si="3"/>
        <v>24558.86443026616</v>
      </c>
      <c r="O43" s="140">
        <v>21838</v>
      </c>
      <c r="P43" s="258">
        <f t="shared" si="1"/>
        <v>2720.8644302661596</v>
      </c>
    </row>
    <row r="44" spans="1:16" ht="15" x14ac:dyDescent="0.2">
      <c r="A44" s="1"/>
      <c r="B44" s="144"/>
      <c r="C44" s="138"/>
      <c r="D44" s="30"/>
      <c r="E44" s="30"/>
      <c r="F44" s="30"/>
      <c r="H44" s="30"/>
      <c r="I44" s="30"/>
      <c r="J44" s="30"/>
      <c r="K44" s="30"/>
      <c r="L44" s="30"/>
      <c r="M44" s="139"/>
      <c r="N44" s="140"/>
      <c r="O44" s="230"/>
    </row>
    <row r="45" spans="1:16" ht="21" thickBot="1" x14ac:dyDescent="0.35">
      <c r="A45" s="1"/>
      <c r="B45" s="218"/>
      <c r="C45" s="219"/>
      <c r="D45" s="220"/>
      <c r="E45" s="220"/>
      <c r="F45" s="220"/>
      <c r="G45" s="220"/>
      <c r="H45" s="220"/>
      <c r="I45" s="220"/>
      <c r="J45" s="220"/>
      <c r="K45" s="54"/>
      <c r="L45" s="55" t="s">
        <v>32</v>
      </c>
      <c r="M45" s="200">
        <f>SUM(M11:M43)</f>
        <v>2096.3367404509772</v>
      </c>
      <c r="N45" s="89">
        <f>SUM(N11:N43)</f>
        <v>3217728.1130575994</v>
      </c>
      <c r="O45" s="228">
        <f>SUM(O13:O44)</f>
        <v>2861215</v>
      </c>
      <c r="P45" s="228">
        <f>SUM(P13:P43)</f>
        <v>356513.11305760039</v>
      </c>
    </row>
    <row r="46" spans="1:16" ht="20.25" x14ac:dyDescent="0.3">
      <c r="A46" s="1"/>
      <c r="B46" s="202"/>
      <c r="C46" s="203"/>
      <c r="D46" s="376"/>
      <c r="E46" s="376"/>
      <c r="F46" s="376"/>
      <c r="G46" s="376"/>
      <c r="H46" s="376"/>
      <c r="I46" s="376"/>
      <c r="J46" s="376"/>
      <c r="K46" s="377"/>
      <c r="L46" s="377"/>
      <c r="M46" s="378"/>
      <c r="N46" s="204"/>
      <c r="O46" s="231"/>
    </row>
    <row r="47" spans="1:16" ht="17.25" customHeight="1" x14ac:dyDescent="0.25">
      <c r="A47" s="1"/>
      <c r="B47" s="205" t="s">
        <v>85</v>
      </c>
      <c r="C47" s="205"/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208">
        <v>400000</v>
      </c>
      <c r="O47" s="232"/>
    </row>
    <row r="48" spans="1:16" ht="17.25" customHeight="1" x14ac:dyDescent="0.25">
      <c r="A48" s="1"/>
      <c r="B48" s="205" t="s">
        <v>94</v>
      </c>
      <c r="C48" s="205"/>
      <c r="D48" s="206"/>
      <c r="E48" s="206"/>
      <c r="F48" s="206"/>
      <c r="G48" s="206"/>
      <c r="H48" s="206"/>
      <c r="I48" s="206"/>
      <c r="J48" s="206"/>
      <c r="K48" s="206"/>
      <c r="L48" s="206"/>
      <c r="M48" s="207"/>
      <c r="N48" s="208"/>
      <c r="O48" s="232"/>
    </row>
    <row r="49" spans="1:15" ht="33" customHeight="1" x14ac:dyDescent="0.2">
      <c r="A49" s="1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</row>
    <row r="50" spans="1:15" ht="36" thickBot="1" x14ac:dyDescent="0.25">
      <c r="B50" s="1"/>
      <c r="C50" s="136" t="s">
        <v>106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233"/>
    </row>
    <row r="51" spans="1:15" ht="23.25" x14ac:dyDescent="0.25">
      <c r="A51" s="1"/>
      <c r="B51" s="285" t="s">
        <v>0</v>
      </c>
      <c r="C51" s="300" t="s">
        <v>120</v>
      </c>
      <c r="D51" s="294" t="s">
        <v>33</v>
      </c>
      <c r="E51" s="301" t="s">
        <v>121</v>
      </c>
      <c r="F51" s="301" t="s">
        <v>122</v>
      </c>
      <c r="G51" s="295" t="s">
        <v>34</v>
      </c>
      <c r="H51" s="302" t="s">
        <v>123</v>
      </c>
      <c r="I51" s="296" t="s">
        <v>35</v>
      </c>
      <c r="J51" s="297" t="s">
        <v>36</v>
      </c>
      <c r="K51" s="303" t="s">
        <v>124</v>
      </c>
      <c r="L51" s="304" t="s">
        <v>125</v>
      </c>
      <c r="M51" s="298" t="s">
        <v>2</v>
      </c>
      <c r="N51" s="299" t="s">
        <v>3</v>
      </c>
      <c r="O51" s="234"/>
    </row>
    <row r="52" spans="1:15" ht="18" customHeight="1" x14ac:dyDescent="0.25">
      <c r="A52" s="1"/>
      <c r="B52" s="305" t="s">
        <v>120</v>
      </c>
      <c r="C52" s="91" t="s">
        <v>37</v>
      </c>
      <c r="D52" s="92">
        <v>1</v>
      </c>
      <c r="E52" s="266">
        <v>0.75</v>
      </c>
      <c r="F52" s="306" t="s">
        <v>120</v>
      </c>
      <c r="G52" s="266">
        <v>0.38</v>
      </c>
      <c r="H52" s="306" t="s">
        <v>120</v>
      </c>
      <c r="I52" s="92">
        <v>0.13</v>
      </c>
      <c r="J52" s="92">
        <v>0.08</v>
      </c>
      <c r="K52" s="307" t="s">
        <v>120</v>
      </c>
      <c r="L52" s="307" t="s">
        <v>120</v>
      </c>
      <c r="M52" s="308" t="s">
        <v>120</v>
      </c>
      <c r="N52" s="289">
        <f>SUM(D71)</f>
        <v>1095072.0357023999</v>
      </c>
      <c r="O52" s="235"/>
    </row>
    <row r="53" spans="1:15" ht="20.25" x14ac:dyDescent="0.25">
      <c r="A53" s="1"/>
      <c r="B53" s="305" t="s">
        <v>120</v>
      </c>
      <c r="C53" s="93" t="s">
        <v>87</v>
      </c>
      <c r="D53" s="94">
        <v>1</v>
      </c>
      <c r="E53" s="268" t="s">
        <v>38</v>
      </c>
      <c r="F53" s="306" t="s">
        <v>120</v>
      </c>
      <c r="G53" s="309" t="s">
        <v>120</v>
      </c>
      <c r="H53" s="306" t="s">
        <v>120</v>
      </c>
      <c r="I53" s="307" t="s">
        <v>120</v>
      </c>
      <c r="J53" s="307" t="s">
        <v>120</v>
      </c>
      <c r="K53" s="307" t="s">
        <v>120</v>
      </c>
      <c r="L53" s="307" t="s">
        <v>120</v>
      </c>
      <c r="M53" s="310" t="s">
        <v>120</v>
      </c>
      <c r="N53" s="311" t="s">
        <v>120</v>
      </c>
      <c r="O53" s="90"/>
    </row>
    <row r="54" spans="1:15" ht="18.75" customHeight="1" thickBot="1" x14ac:dyDescent="0.3">
      <c r="A54" s="1"/>
      <c r="B54" s="312" t="s">
        <v>120</v>
      </c>
      <c r="C54" s="95" t="s">
        <v>39</v>
      </c>
      <c r="D54" s="96">
        <v>24</v>
      </c>
      <c r="E54" s="267">
        <v>18</v>
      </c>
      <c r="F54" s="313" t="s">
        <v>120</v>
      </c>
      <c r="G54" s="267">
        <v>9</v>
      </c>
      <c r="H54" s="313" t="s">
        <v>120</v>
      </c>
      <c r="I54" s="96">
        <v>3</v>
      </c>
      <c r="J54" s="96">
        <v>2</v>
      </c>
      <c r="K54" s="314" t="s">
        <v>120</v>
      </c>
      <c r="L54" s="314" t="s">
        <v>120</v>
      </c>
      <c r="M54" s="97" t="s">
        <v>9</v>
      </c>
      <c r="N54" s="290">
        <f>SUM(N52/M65)</f>
        <v>1873.5193083017962</v>
      </c>
      <c r="O54" s="236"/>
    </row>
    <row r="55" spans="1:15" ht="16.5" customHeight="1" x14ac:dyDescent="0.25">
      <c r="A55" s="1"/>
      <c r="B55" s="286" t="s">
        <v>40</v>
      </c>
      <c r="C55" s="315" t="s">
        <v>120</v>
      </c>
      <c r="D55" s="316" t="s">
        <v>120</v>
      </c>
      <c r="E55" s="317" t="s">
        <v>120</v>
      </c>
      <c r="F55" s="318" t="s">
        <v>120</v>
      </c>
      <c r="G55" s="317" t="s">
        <v>120</v>
      </c>
      <c r="H55" s="318" t="s">
        <v>120</v>
      </c>
      <c r="I55" s="316" t="s">
        <v>120</v>
      </c>
      <c r="J55" s="316" t="s">
        <v>120</v>
      </c>
      <c r="K55" s="316" t="s">
        <v>120</v>
      </c>
      <c r="L55" s="316" t="s">
        <v>120</v>
      </c>
      <c r="M55" s="316" t="s">
        <v>120</v>
      </c>
      <c r="N55" s="319" t="s">
        <v>120</v>
      </c>
      <c r="O55" s="229"/>
    </row>
    <row r="56" spans="1:15" ht="15.75" x14ac:dyDescent="0.25">
      <c r="A56" s="1"/>
      <c r="B56" s="287" t="s">
        <v>60</v>
      </c>
      <c r="C56" s="98" t="s">
        <v>42</v>
      </c>
      <c r="D56" s="320" t="s">
        <v>120</v>
      </c>
      <c r="E56" s="263">
        <v>18</v>
      </c>
      <c r="F56" s="321" t="s">
        <v>120</v>
      </c>
      <c r="G56" s="264">
        <v>27</v>
      </c>
      <c r="H56" s="322" t="s">
        <v>120</v>
      </c>
      <c r="I56" s="99">
        <v>11.25</v>
      </c>
      <c r="J56" s="99">
        <v>2.5</v>
      </c>
      <c r="K56" s="320" t="s">
        <v>120</v>
      </c>
      <c r="L56" s="320" t="s">
        <v>120</v>
      </c>
      <c r="M56" s="100">
        <f t="shared" ref="M56:M58" si="4">SUM(C56:J56)</f>
        <v>58.75</v>
      </c>
      <c r="N56" s="291">
        <f>SUM(M56*$N$54)</f>
        <v>110069.25936273053</v>
      </c>
      <c r="O56" s="237"/>
    </row>
    <row r="57" spans="1:15" ht="15.75" x14ac:dyDescent="0.25">
      <c r="A57" s="1"/>
      <c r="B57" s="287" t="s">
        <v>61</v>
      </c>
      <c r="C57" s="98" t="s">
        <v>41</v>
      </c>
      <c r="D57" s="320" t="s">
        <v>120</v>
      </c>
      <c r="E57" s="263">
        <v>18</v>
      </c>
      <c r="F57" s="321" t="s">
        <v>120</v>
      </c>
      <c r="G57" s="264">
        <v>36</v>
      </c>
      <c r="H57" s="322" t="s">
        <v>120</v>
      </c>
      <c r="I57" s="99">
        <v>22.5</v>
      </c>
      <c r="J57" s="99">
        <v>10</v>
      </c>
      <c r="K57" s="320" t="s">
        <v>120</v>
      </c>
      <c r="L57" s="320" t="s">
        <v>120</v>
      </c>
      <c r="M57" s="100">
        <f t="shared" si="4"/>
        <v>86.5</v>
      </c>
      <c r="N57" s="291">
        <f>SUM(M57*$N$54)</f>
        <v>162059.42016810537</v>
      </c>
      <c r="O57" s="237"/>
    </row>
    <row r="58" spans="1:15" ht="16.5" thickBot="1" x14ac:dyDescent="0.3">
      <c r="A58" s="1"/>
      <c r="B58" s="288" t="s">
        <v>70</v>
      </c>
      <c r="C58" s="101" t="s">
        <v>43</v>
      </c>
      <c r="D58" s="323" t="s">
        <v>120</v>
      </c>
      <c r="E58" s="261">
        <v>27</v>
      </c>
      <c r="F58" s="324" t="s">
        <v>120</v>
      </c>
      <c r="G58" s="262">
        <v>13.5</v>
      </c>
      <c r="H58" s="325" t="s">
        <v>120</v>
      </c>
      <c r="I58" s="102">
        <v>3.75</v>
      </c>
      <c r="J58" s="323" t="s">
        <v>120</v>
      </c>
      <c r="K58" s="323" t="s">
        <v>120</v>
      </c>
      <c r="L58" s="323" t="s">
        <v>120</v>
      </c>
      <c r="M58" s="103">
        <f t="shared" si="4"/>
        <v>44.25</v>
      </c>
      <c r="N58" s="292">
        <f>SUM(M58*$N$54)</f>
        <v>82903.229392354478</v>
      </c>
      <c r="O58" s="237"/>
    </row>
    <row r="59" spans="1:15" ht="15.75" x14ac:dyDescent="0.25">
      <c r="A59" s="1"/>
      <c r="B59" s="286" t="s">
        <v>44</v>
      </c>
      <c r="C59" s="315" t="s">
        <v>120</v>
      </c>
      <c r="D59" s="326" t="s">
        <v>120</v>
      </c>
      <c r="E59" s="327" t="s">
        <v>120</v>
      </c>
      <c r="F59" s="328" t="s">
        <v>120</v>
      </c>
      <c r="G59" s="329" t="s">
        <v>120</v>
      </c>
      <c r="H59" s="330" t="s">
        <v>120</v>
      </c>
      <c r="I59" s="326" t="s">
        <v>120</v>
      </c>
      <c r="J59" s="326" t="s">
        <v>120</v>
      </c>
      <c r="K59" s="326" t="s">
        <v>120</v>
      </c>
      <c r="L59" s="326" t="s">
        <v>120</v>
      </c>
      <c r="M59" s="331" t="s">
        <v>120</v>
      </c>
      <c r="N59" s="332" t="s">
        <v>120</v>
      </c>
      <c r="O59" s="237"/>
    </row>
    <row r="60" spans="1:15" ht="15.75" x14ac:dyDescent="0.25">
      <c r="A60" s="1"/>
      <c r="B60" s="287" t="s">
        <v>59</v>
      </c>
      <c r="C60" s="98" t="s">
        <v>41</v>
      </c>
      <c r="D60" s="99">
        <v>24</v>
      </c>
      <c r="E60" s="263">
        <v>36</v>
      </c>
      <c r="F60" s="321" t="s">
        <v>120</v>
      </c>
      <c r="G60" s="264">
        <v>54</v>
      </c>
      <c r="H60" s="322" t="s">
        <v>120</v>
      </c>
      <c r="I60" s="99">
        <v>26.25</v>
      </c>
      <c r="J60" s="99">
        <v>15</v>
      </c>
      <c r="K60" s="320" t="s">
        <v>120</v>
      </c>
      <c r="L60" s="320" t="s">
        <v>120</v>
      </c>
      <c r="M60" s="100">
        <f>SUM(C60:J60)</f>
        <v>155.25</v>
      </c>
      <c r="N60" s="291">
        <f>SUM(M60*$N$54)</f>
        <v>290863.87261385383</v>
      </c>
      <c r="O60" s="237"/>
    </row>
    <row r="61" spans="1:15" ht="16.5" thickBot="1" x14ac:dyDescent="0.3">
      <c r="A61" s="1"/>
      <c r="B61" s="288" t="s">
        <v>58</v>
      </c>
      <c r="C61" s="101" t="s">
        <v>43</v>
      </c>
      <c r="D61" s="102">
        <v>36</v>
      </c>
      <c r="E61" s="261">
        <v>27</v>
      </c>
      <c r="F61" s="324" t="s">
        <v>120</v>
      </c>
      <c r="G61" s="262">
        <v>27</v>
      </c>
      <c r="H61" s="325" t="s">
        <v>120</v>
      </c>
      <c r="I61" s="102">
        <v>3.75</v>
      </c>
      <c r="J61" s="102">
        <v>5</v>
      </c>
      <c r="K61" s="323" t="s">
        <v>120</v>
      </c>
      <c r="L61" s="323" t="s">
        <v>120</v>
      </c>
      <c r="M61" s="103">
        <f>SUM(C61:J61)</f>
        <v>98.75</v>
      </c>
      <c r="N61" s="292">
        <f>SUM(M61*$N$54)</f>
        <v>185010.03169480237</v>
      </c>
      <c r="O61" s="237"/>
    </row>
    <row r="62" spans="1:15" ht="15.75" x14ac:dyDescent="0.25">
      <c r="A62" s="1"/>
      <c r="B62" s="286" t="s">
        <v>45</v>
      </c>
      <c r="C62" s="315" t="s">
        <v>120</v>
      </c>
      <c r="D62" s="326" t="s">
        <v>120</v>
      </c>
      <c r="E62" s="327" t="s">
        <v>120</v>
      </c>
      <c r="F62" s="328" t="s">
        <v>120</v>
      </c>
      <c r="G62" s="329" t="s">
        <v>120</v>
      </c>
      <c r="H62" s="330" t="s">
        <v>120</v>
      </c>
      <c r="I62" s="326" t="s">
        <v>120</v>
      </c>
      <c r="J62" s="326" t="s">
        <v>120</v>
      </c>
      <c r="K62" s="326" t="s">
        <v>120</v>
      </c>
      <c r="L62" s="326" t="s">
        <v>120</v>
      </c>
      <c r="M62" s="331" t="s">
        <v>120</v>
      </c>
      <c r="N62" s="332" t="s">
        <v>120</v>
      </c>
      <c r="O62" s="237"/>
    </row>
    <row r="63" spans="1:15" ht="15.75" x14ac:dyDescent="0.25">
      <c r="A63" s="1"/>
      <c r="B63" s="287" t="s">
        <v>56</v>
      </c>
      <c r="C63" s="98" t="s">
        <v>41</v>
      </c>
      <c r="D63" s="99">
        <v>24</v>
      </c>
      <c r="E63" s="333" t="s">
        <v>120</v>
      </c>
      <c r="F63" s="321" t="s">
        <v>120</v>
      </c>
      <c r="G63" s="264">
        <v>27</v>
      </c>
      <c r="H63" s="322" t="s">
        <v>120</v>
      </c>
      <c r="I63" s="99">
        <v>15</v>
      </c>
      <c r="J63" s="320" t="s">
        <v>120</v>
      </c>
      <c r="K63" s="320" t="s">
        <v>120</v>
      </c>
      <c r="L63" s="320" t="s">
        <v>120</v>
      </c>
      <c r="M63" s="100">
        <f>SUM(C63:J63)</f>
        <v>66</v>
      </c>
      <c r="N63" s="291">
        <f>SUM(M63*$N$54)</f>
        <v>123652.27434791854</v>
      </c>
      <c r="O63" s="237"/>
    </row>
    <row r="64" spans="1:15" ht="16.5" thickBot="1" x14ac:dyDescent="0.3">
      <c r="A64" s="1"/>
      <c r="B64" s="287" t="s">
        <v>56</v>
      </c>
      <c r="C64" s="104" t="s">
        <v>43</v>
      </c>
      <c r="D64" s="334" t="s">
        <v>120</v>
      </c>
      <c r="E64" s="263">
        <v>40.5</v>
      </c>
      <c r="F64" s="321" t="s">
        <v>120</v>
      </c>
      <c r="G64" s="265">
        <v>27</v>
      </c>
      <c r="H64" s="335" t="s">
        <v>120</v>
      </c>
      <c r="I64" s="105">
        <v>7.5</v>
      </c>
      <c r="J64" s="336" t="s">
        <v>120</v>
      </c>
      <c r="K64" s="336" t="s">
        <v>120</v>
      </c>
      <c r="L64" s="336" t="s">
        <v>120</v>
      </c>
      <c r="M64" s="106">
        <f>SUM(C64:J64)</f>
        <v>75</v>
      </c>
      <c r="N64" s="293">
        <f>SUM(M64*$N$54)</f>
        <v>140513.94812263473</v>
      </c>
      <c r="O64" s="237"/>
    </row>
    <row r="65" spans="1:18" ht="21" thickBot="1" x14ac:dyDescent="0.35">
      <c r="A65" s="1"/>
      <c r="C65" s="107"/>
      <c r="D65" s="108"/>
      <c r="E65" s="108"/>
      <c r="F65" s="108"/>
      <c r="G65" s="109"/>
      <c r="H65" s="109"/>
      <c r="I65" s="109"/>
      <c r="J65" s="109"/>
      <c r="K65" s="109"/>
      <c r="L65" s="110" t="s">
        <v>46</v>
      </c>
      <c r="M65" s="111">
        <f>SUM(M55:M64)</f>
        <v>584.5</v>
      </c>
      <c r="N65" s="112">
        <f>SUM(N55:N64)</f>
        <v>1095072.0357023999</v>
      </c>
      <c r="O65" s="228"/>
    </row>
    <row r="66" spans="1:18" ht="15.75" x14ac:dyDescent="0.25">
      <c r="A66" s="1"/>
      <c r="B66" s="88"/>
      <c r="C66" s="88"/>
      <c r="D66" s="88"/>
      <c r="E66" s="88"/>
      <c r="F66" s="114"/>
      <c r="G66" s="115"/>
      <c r="H66" s="115"/>
      <c r="I66" s="115"/>
      <c r="J66" s="115"/>
      <c r="K66" s="116"/>
      <c r="L66" s="1"/>
      <c r="M66" s="4"/>
      <c r="N66" s="113"/>
      <c r="O66" s="113"/>
    </row>
    <row r="67" spans="1:18" ht="18" customHeight="1" x14ac:dyDescent="0.25">
      <c r="A67" s="1"/>
      <c r="B67" s="117" t="s">
        <v>47</v>
      </c>
      <c r="C67" s="118"/>
      <c r="D67" s="119">
        <v>5784800</v>
      </c>
      <c r="E67" s="353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</row>
    <row r="68" spans="1:18" ht="15.75" x14ac:dyDescent="0.25">
      <c r="A68" s="1"/>
      <c r="B68" s="145" t="s">
        <v>73</v>
      </c>
      <c r="C68" s="146"/>
      <c r="D68" s="147">
        <v>150000</v>
      </c>
      <c r="E68" s="131"/>
      <c r="Q68">
        <f>1-0.8097537</f>
        <v>0.19024629999999998</v>
      </c>
      <c r="R68" s="227">
        <f>+N65+N47+N45</f>
        <v>4712800.1487599993</v>
      </c>
    </row>
    <row r="69" spans="1:18" ht="24.75" customHeight="1" thickBot="1" x14ac:dyDescent="0.3">
      <c r="A69" s="1"/>
      <c r="B69" s="148" t="s">
        <v>48</v>
      </c>
      <c r="C69" s="149"/>
      <c r="D69" s="150">
        <f>D67-D68</f>
        <v>5634800</v>
      </c>
      <c r="E69" s="90"/>
    </row>
    <row r="70" spans="1:18" ht="18.75" thickBot="1" x14ac:dyDescent="0.3">
      <c r="A70" s="1"/>
      <c r="B70" s="152">
        <v>0.81</v>
      </c>
      <c r="C70" s="153" t="s">
        <v>49</v>
      </c>
      <c r="D70" s="154">
        <f>D69*0.8097537</f>
        <v>4562800.1487600002</v>
      </c>
      <c r="E70" s="121"/>
      <c r="F70" s="351" t="s">
        <v>50</v>
      </c>
      <c r="G70" s="352"/>
      <c r="H70" s="352"/>
      <c r="I70" s="352"/>
      <c r="J70" s="352"/>
      <c r="K70" s="352"/>
      <c r="L70" s="352"/>
      <c r="M70" s="122">
        <f>SUM(D72)</f>
        <v>3467728.1130576003</v>
      </c>
      <c r="N70" s="120"/>
      <c r="O70" s="120"/>
    </row>
    <row r="71" spans="1:18" ht="19.5" customHeight="1" x14ac:dyDescent="0.25">
      <c r="A71" s="1"/>
      <c r="B71" s="155" t="s">
        <v>51</v>
      </c>
      <c r="C71" s="156">
        <v>0.24</v>
      </c>
      <c r="D71" s="157">
        <f>D70*0.24</f>
        <v>1095072.0357023999</v>
      </c>
      <c r="E71" s="5"/>
      <c r="F71" s="349" t="s">
        <v>71</v>
      </c>
      <c r="G71" s="350"/>
      <c r="H71" s="350"/>
      <c r="I71" s="350"/>
      <c r="J71" s="350"/>
      <c r="K71" s="350"/>
      <c r="L71" s="350"/>
      <c r="M71" s="211">
        <v>-250000</v>
      </c>
      <c r="N71" s="120"/>
      <c r="O71" s="120"/>
    </row>
    <row r="72" spans="1:18" ht="25.5" customHeight="1" thickBot="1" x14ac:dyDescent="0.65">
      <c r="A72" s="1"/>
      <c r="B72" s="158" t="s">
        <v>52</v>
      </c>
      <c r="C72" s="151">
        <v>0.76</v>
      </c>
      <c r="D72" s="159">
        <f>D70*0.76</f>
        <v>3467728.1130576003</v>
      </c>
      <c r="E72" s="123" t="s">
        <v>53</v>
      </c>
      <c r="F72" s="209" t="s">
        <v>95</v>
      </c>
      <c r="G72" s="210"/>
      <c r="H72" s="210"/>
      <c r="I72" s="210"/>
      <c r="J72" s="210"/>
      <c r="K72" s="210"/>
      <c r="L72" s="210"/>
      <c r="M72" s="211"/>
      <c r="N72" s="120"/>
      <c r="O72" s="120"/>
      <c r="R72" s="227">
        <f>D69-D70</f>
        <v>1071999.8512399998</v>
      </c>
    </row>
    <row r="73" spans="1:18" ht="27.75" customHeight="1" x14ac:dyDescent="0.3">
      <c r="A73" s="1"/>
      <c r="B73" s="275">
        <v>0.19</v>
      </c>
      <c r="C73" s="276" t="s">
        <v>55</v>
      </c>
      <c r="D73" s="277">
        <f>D69*Q68</f>
        <v>1071999.85124</v>
      </c>
      <c r="F73" s="212" t="s">
        <v>54</v>
      </c>
      <c r="G73" s="213"/>
      <c r="H73" s="213"/>
      <c r="I73" s="213"/>
      <c r="J73" s="213"/>
      <c r="K73" s="214"/>
      <c r="L73" s="215"/>
      <c r="M73" s="216">
        <f>SUM(M70:M72)</f>
        <v>3217728.1130576003</v>
      </c>
      <c r="N73" s="120"/>
      <c r="O73" s="120"/>
    </row>
    <row r="74" spans="1:18" ht="27.75" customHeight="1" x14ac:dyDescent="0.3">
      <c r="A74" s="1"/>
      <c r="B74" s="278" t="s">
        <v>116</v>
      </c>
      <c r="C74" s="279"/>
      <c r="D74" s="280">
        <v>600000</v>
      </c>
      <c r="F74" s="270"/>
      <c r="G74" s="271"/>
      <c r="H74" s="271"/>
      <c r="I74" s="271"/>
      <c r="J74" s="271"/>
      <c r="K74" s="272"/>
      <c r="L74" s="273"/>
      <c r="M74" s="274"/>
      <c r="N74" s="120"/>
      <c r="O74" s="120"/>
    </row>
    <row r="75" spans="1:18" ht="18.75" thickBot="1" x14ac:dyDescent="0.3">
      <c r="A75" s="1"/>
      <c r="B75" s="281" t="s">
        <v>117</v>
      </c>
      <c r="C75" s="192"/>
      <c r="D75" s="280">
        <f>D74+D73</f>
        <v>1671999.85124</v>
      </c>
      <c r="E75" s="121"/>
      <c r="F75" s="124"/>
      <c r="G75" s="125"/>
      <c r="H75" s="125"/>
      <c r="I75" s="125"/>
      <c r="J75" s="125"/>
      <c r="K75" s="126"/>
      <c r="L75" s="127"/>
      <c r="M75" s="128"/>
      <c r="N75" s="120"/>
      <c r="O75" s="120"/>
    </row>
    <row r="76" spans="1:18" ht="15" x14ac:dyDescent="0.25">
      <c r="A76" s="168" t="s">
        <v>72</v>
      </c>
      <c r="B76" s="168" t="s">
        <v>97</v>
      </c>
    </row>
    <row r="77" spans="1:18" ht="15" x14ac:dyDescent="0.25">
      <c r="A77" s="168"/>
      <c r="B77" s="168"/>
    </row>
    <row r="78" spans="1:18" ht="15" x14ac:dyDescent="0.25">
      <c r="A78" s="168"/>
      <c r="B78" s="222" t="s">
        <v>100</v>
      </c>
      <c r="C78" s="222"/>
      <c r="D78" s="222"/>
      <c r="E78" s="222"/>
    </row>
    <row r="79" spans="1:18" ht="15.75" x14ac:dyDescent="0.25">
      <c r="B79" s="222" t="s">
        <v>101</v>
      </c>
      <c r="C79" s="160"/>
      <c r="D79" s="222"/>
      <c r="E79" s="222"/>
    </row>
    <row r="80" spans="1:18" ht="15.75" x14ac:dyDescent="0.25">
      <c r="B80" s="222" t="s">
        <v>107</v>
      </c>
      <c r="C80" s="222"/>
      <c r="D80" s="222"/>
      <c r="E80" s="29"/>
      <c r="F80" s="29"/>
      <c r="G80" s="29"/>
      <c r="H80" s="160"/>
      <c r="I80" s="161"/>
      <c r="J80" s="162"/>
      <c r="K80" s="163"/>
    </row>
    <row r="81" spans="2:12" ht="15.75" x14ac:dyDescent="0.25">
      <c r="B81" s="222" t="s">
        <v>108</v>
      </c>
      <c r="C81" s="222"/>
      <c r="D81" s="222"/>
      <c r="E81" s="29"/>
      <c r="F81" s="29"/>
      <c r="G81" s="29"/>
      <c r="H81" s="160"/>
      <c r="I81" s="1"/>
      <c r="J81" s="4"/>
      <c r="K81" s="164"/>
    </row>
    <row r="82" spans="2:12" ht="15.75" x14ac:dyDescent="0.25">
      <c r="B82" s="224" t="s">
        <v>109</v>
      </c>
      <c r="C82" s="29"/>
      <c r="D82" s="29"/>
      <c r="E82" s="29"/>
      <c r="F82" s="29"/>
      <c r="G82" s="29"/>
      <c r="H82" s="160"/>
      <c r="I82" s="1"/>
      <c r="J82" s="4"/>
      <c r="K82" s="165"/>
    </row>
    <row r="83" spans="2:12" ht="15.75" x14ac:dyDescent="0.25">
      <c r="B83" s="225" t="s">
        <v>110</v>
      </c>
      <c r="I83" s="166" t="s">
        <v>103</v>
      </c>
    </row>
    <row r="84" spans="2:12" ht="15.75" x14ac:dyDescent="0.25">
      <c r="B84" s="225"/>
      <c r="I84" s="29"/>
    </row>
    <row r="85" spans="2:12" ht="15.75" x14ac:dyDescent="0.25">
      <c r="B85" t="s">
        <v>102</v>
      </c>
      <c r="C85" s="29"/>
      <c r="D85" s="29"/>
      <c r="E85" s="29"/>
      <c r="F85" s="29"/>
      <c r="G85" s="29"/>
      <c r="H85" s="160"/>
      <c r="I85" s="222" t="s">
        <v>104</v>
      </c>
      <c r="J85" s="196"/>
      <c r="K85" s="165"/>
    </row>
    <row r="86" spans="2:12" ht="15.75" x14ac:dyDescent="0.25">
      <c r="C86" s="29"/>
      <c r="E86" s="29"/>
      <c r="F86" s="29"/>
      <c r="G86" s="29"/>
      <c r="H86" s="222"/>
      <c r="I86" s="222"/>
      <c r="J86" s="196"/>
    </row>
    <row r="87" spans="2:12" ht="15.75" x14ac:dyDescent="0.25">
      <c r="D87" s="167"/>
      <c r="E87" s="167"/>
      <c r="F87" s="167"/>
      <c r="G87" s="167"/>
      <c r="H87" s="29"/>
      <c r="I87" s="222"/>
      <c r="J87" s="223"/>
    </row>
    <row r="88" spans="2:12" ht="12.75" customHeight="1" x14ac:dyDescent="0.25">
      <c r="H88" s="222"/>
      <c r="I88" s="222"/>
    </row>
    <row r="89" spans="2:12" ht="12.75" customHeight="1" x14ac:dyDescent="0.25">
      <c r="H89" s="222"/>
      <c r="I89" s="222"/>
    </row>
    <row r="90" spans="2:12" ht="12.75" customHeight="1" x14ac:dyDescent="0.25">
      <c r="H90" s="222"/>
      <c r="I90" s="345" t="s">
        <v>105</v>
      </c>
      <c r="J90" s="345"/>
      <c r="K90" s="223"/>
    </row>
    <row r="91" spans="2:12" ht="15" x14ac:dyDescent="0.25">
      <c r="H91" s="222"/>
    </row>
    <row r="92" spans="2:12" ht="15" x14ac:dyDescent="0.25">
      <c r="H92" s="222"/>
    </row>
    <row r="93" spans="2:12" ht="15" x14ac:dyDescent="0.25">
      <c r="H93" s="222"/>
    </row>
    <row r="94" spans="2:12" x14ac:dyDescent="0.2"/>
    <row r="95" spans="2:12" ht="15.75" x14ac:dyDescent="0.2">
      <c r="K95" s="346"/>
      <c r="L95" s="346"/>
    </row>
    <row r="96" spans="2:12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spans="19:19" x14ac:dyDescent="0.2"/>
    <row r="9986" spans="19:19" x14ac:dyDescent="0.2"/>
    <row r="9987" spans="19:19" x14ac:dyDescent="0.2"/>
    <row r="9988" spans="19:19" x14ac:dyDescent="0.2"/>
    <row r="9989" spans="19:19" x14ac:dyDescent="0.2"/>
    <row r="9990" spans="19:19" x14ac:dyDescent="0.2"/>
    <row r="9991" spans="19:19" x14ac:dyDescent="0.2"/>
    <row r="9992" spans="19:19" x14ac:dyDescent="0.2"/>
    <row r="9993" spans="19:19" x14ac:dyDescent="0.2"/>
    <row r="9994" spans="19:19" x14ac:dyDescent="0.2"/>
    <row r="9995" spans="19:19" x14ac:dyDescent="0.2"/>
    <row r="9996" spans="19:19" x14ac:dyDescent="0.2"/>
    <row r="9997" spans="19:19" x14ac:dyDescent="0.2"/>
    <row r="9998" spans="19:19" x14ac:dyDescent="0.2"/>
    <row r="9999" spans="19:19" x14ac:dyDescent="0.2"/>
    <row r="10000" spans="19:19" x14ac:dyDescent="0.2">
      <c r="S10000">
        <v>1</v>
      </c>
    </row>
  </sheetData>
  <mergeCells count="28">
    <mergeCell ref="B32:C32"/>
    <mergeCell ref="B34:C34"/>
    <mergeCell ref="B36:C36"/>
    <mergeCell ref="D46:M46"/>
    <mergeCell ref="B40:C40"/>
    <mergeCell ref="D20:L20"/>
    <mergeCell ref="B24:C24"/>
    <mergeCell ref="B26:C26"/>
    <mergeCell ref="B28:C28"/>
    <mergeCell ref="B30:C30"/>
    <mergeCell ref="B20:B23"/>
    <mergeCell ref="B3:N3"/>
    <mergeCell ref="B4:B8"/>
    <mergeCell ref="D4:L4"/>
    <mergeCell ref="D5:H5"/>
    <mergeCell ref="I5:L5"/>
    <mergeCell ref="D7:H7"/>
    <mergeCell ref="B10:C10"/>
    <mergeCell ref="B12:C12"/>
    <mergeCell ref="B14:C14"/>
    <mergeCell ref="B16:C16"/>
    <mergeCell ref="B18:C18"/>
    <mergeCell ref="I90:J90"/>
    <mergeCell ref="K95:L95"/>
    <mergeCell ref="B38:C38"/>
    <mergeCell ref="F71:L71"/>
    <mergeCell ref="F70:L70"/>
    <mergeCell ref="E67:P67"/>
  </mergeCells>
  <pageMargins left="0.7" right="0.7" top="0.75" bottom="0.75" header="0.3" footer="0.3"/>
  <pageSetup paperSize="8" scale="5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0"/>
  <sheetViews>
    <sheetView rightToLeft="1" workbookViewId="0">
      <selection activeCell="E19" sqref="E19"/>
    </sheetView>
  </sheetViews>
  <sheetFormatPr defaultColWidth="0" defaultRowHeight="14.25" zeroHeight="1" x14ac:dyDescent="0.2"/>
  <cols>
    <col min="1" max="1" width="9" customWidth="1"/>
    <col min="2" max="2" width="17.125" customWidth="1"/>
    <col min="3" max="3" width="15.875" customWidth="1"/>
    <col min="4" max="4" width="11.375" bestFit="1" customWidth="1"/>
    <col min="5" max="5" width="24.5" customWidth="1"/>
    <col min="6" max="52" width="0" hidden="1" customWidth="1"/>
    <col min="53" max="16384" width="9" hidden="1"/>
  </cols>
  <sheetData>
    <row r="1" spans="1:5" ht="18" x14ac:dyDescent="0.25">
      <c r="A1" s="379" t="s">
        <v>99</v>
      </c>
      <c r="B1" s="380"/>
      <c r="C1" s="380"/>
      <c r="D1" s="380"/>
      <c r="E1" s="380"/>
    </row>
    <row r="2" spans="1:5" ht="18" x14ac:dyDescent="0.25">
      <c r="A2" s="190"/>
      <c r="B2" s="191"/>
      <c r="C2" s="191"/>
      <c r="D2" s="191"/>
      <c r="E2" s="191"/>
    </row>
    <row r="3" spans="1:5" x14ac:dyDescent="0.2">
      <c r="A3" s="170" t="s">
        <v>74</v>
      </c>
      <c r="B3" s="170" t="s">
        <v>75</v>
      </c>
      <c r="C3" s="337" t="s">
        <v>120</v>
      </c>
      <c r="D3" s="338" t="s">
        <v>121</v>
      </c>
      <c r="E3" s="337" t="s">
        <v>122</v>
      </c>
    </row>
    <row r="4" spans="1:5" x14ac:dyDescent="0.2">
      <c r="A4" s="171" t="s">
        <v>44</v>
      </c>
      <c r="B4" s="171" t="s">
        <v>76</v>
      </c>
      <c r="C4" s="171" t="s">
        <v>77</v>
      </c>
      <c r="D4" s="172">
        <v>400</v>
      </c>
      <c r="E4" s="171" t="s">
        <v>78</v>
      </c>
    </row>
    <row r="5" spans="1:5" x14ac:dyDescent="0.2">
      <c r="A5" s="339" t="s">
        <v>120</v>
      </c>
      <c r="B5" s="339" t="s">
        <v>120</v>
      </c>
      <c r="C5" s="173" t="s">
        <v>79</v>
      </c>
      <c r="D5" s="174">
        <v>200</v>
      </c>
      <c r="E5" s="173" t="s">
        <v>80</v>
      </c>
    </row>
    <row r="6" spans="1:5" ht="15" x14ac:dyDescent="0.25">
      <c r="A6" s="339" t="s">
        <v>120</v>
      </c>
      <c r="B6" s="339" t="s">
        <v>120</v>
      </c>
      <c r="C6" s="175" t="s">
        <v>32</v>
      </c>
      <c r="D6" s="176">
        <v>600</v>
      </c>
      <c r="E6" s="171" t="s">
        <v>78</v>
      </c>
    </row>
    <row r="7" spans="1:5" x14ac:dyDescent="0.2">
      <c r="A7" s="339" t="s">
        <v>120</v>
      </c>
      <c r="B7" s="339" t="s">
        <v>120</v>
      </c>
      <c r="C7" s="339" t="s">
        <v>120</v>
      </c>
      <c r="D7" s="340" t="s">
        <v>120</v>
      </c>
      <c r="E7" s="339" t="s">
        <v>120</v>
      </c>
    </row>
    <row r="8" spans="1:5" x14ac:dyDescent="0.2">
      <c r="A8" s="339" t="s">
        <v>120</v>
      </c>
      <c r="B8" s="171" t="s">
        <v>81</v>
      </c>
      <c r="C8" s="339" t="s">
        <v>120</v>
      </c>
      <c r="D8" s="172" t="s">
        <v>82</v>
      </c>
      <c r="E8" s="339" t="s">
        <v>120</v>
      </c>
    </row>
    <row r="9" spans="1:5" ht="15.75" x14ac:dyDescent="0.25">
      <c r="A9" s="339" t="s">
        <v>120</v>
      </c>
      <c r="B9" s="29" t="s">
        <v>84</v>
      </c>
      <c r="C9" s="341" t="s">
        <v>120</v>
      </c>
      <c r="D9" s="340" t="s">
        <v>120</v>
      </c>
      <c r="E9" s="339" t="s">
        <v>120</v>
      </c>
    </row>
    <row r="10" spans="1:5" x14ac:dyDescent="0.2">
      <c r="A10" s="339" t="s">
        <v>120</v>
      </c>
      <c r="B10" s="342" t="s">
        <v>120</v>
      </c>
      <c r="C10" s="343" t="s">
        <v>120</v>
      </c>
      <c r="D10" s="340" t="s">
        <v>120</v>
      </c>
      <c r="E10" s="339" t="s">
        <v>120</v>
      </c>
    </row>
    <row r="11" spans="1:5" x14ac:dyDescent="0.2">
      <c r="A11" s="339" t="s">
        <v>120</v>
      </c>
      <c r="B11" s="343" t="s">
        <v>120</v>
      </c>
      <c r="C11" s="343" t="s">
        <v>120</v>
      </c>
      <c r="D11" s="343" t="s">
        <v>120</v>
      </c>
      <c r="E11" s="343" t="s">
        <v>120</v>
      </c>
    </row>
    <row r="12" spans="1:5" x14ac:dyDescent="0.2">
      <c r="A12" s="177" t="s">
        <v>83</v>
      </c>
      <c r="B12" s="269" t="s">
        <v>88</v>
      </c>
      <c r="C12" s="344" t="s">
        <v>120</v>
      </c>
      <c r="D12" s="344" t="s">
        <v>120</v>
      </c>
      <c r="E12" s="344" t="s">
        <v>120</v>
      </c>
    </row>
    <row r="13" spans="1:5" x14ac:dyDescent="0.2">
      <c r="A13" s="177"/>
      <c r="B13" s="193" t="s">
        <v>91</v>
      </c>
      <c r="C13" s="193"/>
      <c r="D13" s="194">
        <f>3188783-500000</f>
        <v>2688783</v>
      </c>
      <c r="E13" s="193" t="s">
        <v>111</v>
      </c>
    </row>
    <row r="14" spans="1:5" x14ac:dyDescent="0.2">
      <c r="A14" s="177"/>
      <c r="B14" s="193" t="s">
        <v>89</v>
      </c>
      <c r="C14" s="193"/>
      <c r="D14" s="194">
        <v>1970</v>
      </c>
      <c r="E14" s="193"/>
    </row>
    <row r="15" spans="1:5" x14ac:dyDescent="0.2">
      <c r="A15" s="177"/>
      <c r="B15" s="193" t="s">
        <v>90</v>
      </c>
      <c r="C15" s="193"/>
      <c r="D15" s="194">
        <f>D13/D14</f>
        <v>1364.8644670050762</v>
      </c>
      <c r="E15" s="193" t="s">
        <v>112</v>
      </c>
    </row>
    <row r="16" spans="1:5" x14ac:dyDescent="0.2">
      <c r="A16" s="178"/>
      <c r="B16" s="180" t="s">
        <v>96</v>
      </c>
      <c r="C16" s="177"/>
      <c r="D16" s="197">
        <f>500000/D15</f>
        <v>366.33674045097723</v>
      </c>
      <c r="E16" s="181" t="s">
        <v>80</v>
      </c>
    </row>
    <row r="17" spans="1:5" ht="15" x14ac:dyDescent="0.25">
      <c r="A17" s="177"/>
      <c r="B17" s="179"/>
      <c r="C17" s="182" t="s">
        <v>32</v>
      </c>
      <c r="D17" s="183">
        <f>SUM(D6,D16)</f>
        <v>966.33674045097723</v>
      </c>
      <c r="E17" s="184" t="s">
        <v>80</v>
      </c>
    </row>
    <row r="18" spans="1:5" x14ac:dyDescent="0.2">
      <c r="D18" s="169"/>
    </row>
    <row r="19" spans="1:5" x14ac:dyDescent="0.2">
      <c r="A19" s="171"/>
      <c r="B19" s="171" t="s">
        <v>92</v>
      </c>
      <c r="C19" s="171"/>
      <c r="D19" s="195">
        <f>600*(2688783/1970)+500000</f>
        <v>1318918.6802030457</v>
      </c>
      <c r="E19" s="171" t="s">
        <v>113</v>
      </c>
    </row>
    <row r="20" spans="1:5" hidden="1" x14ac:dyDescent="0.2">
      <c r="C20" s="171"/>
      <c r="D20" s="169"/>
      <c r="E20" s="171"/>
    </row>
    <row r="21" spans="1:5" hidden="1" x14ac:dyDescent="0.2">
      <c r="D21" s="169"/>
    </row>
    <row r="22" spans="1:5" ht="15" hidden="1" x14ac:dyDescent="0.25">
      <c r="C22" s="175"/>
      <c r="D22" s="185"/>
      <c r="E22" s="186"/>
    </row>
    <row r="23" spans="1:5" hidden="1" x14ac:dyDescent="0.2">
      <c r="A23" s="187"/>
      <c r="B23" s="187"/>
      <c r="C23" s="187"/>
      <c r="D23" s="188"/>
      <c r="E23" s="187"/>
    </row>
    <row r="24" spans="1:5" hidden="1" x14ac:dyDescent="0.2">
      <c r="A24" s="173"/>
      <c r="B24" s="173"/>
      <c r="C24" s="173"/>
      <c r="D24" s="189"/>
      <c r="E24" s="173"/>
    </row>
    <row r="25" spans="1:5" hidden="1" x14ac:dyDescent="0.2"/>
    <row r="26" spans="1:5" hidden="1" x14ac:dyDescent="0.2"/>
    <row r="27" spans="1:5" hidden="1" x14ac:dyDescent="0.2"/>
    <row r="28" spans="1:5" hidden="1" x14ac:dyDescent="0.2"/>
    <row r="29" spans="1:5" hidden="1" x14ac:dyDescent="0.2"/>
    <row r="30" spans="1:5" hidden="1" x14ac:dyDescent="0.2"/>
    <row r="31" spans="1:5" hidden="1" x14ac:dyDescent="0.2"/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4953887E23A5F47B95227BBABF774FB" ma:contentTypeVersion="2" ma:contentTypeDescription="צור מסמך חדש." ma:contentTypeScope="" ma:versionID="7e7a471c8d5aeadf93569393a13fc14d">
  <xsd:schema xmlns:xsd="http://www.w3.org/2001/XMLSchema" xmlns:xs="http://www.w3.org/2001/XMLSchema" xmlns:p="http://schemas.microsoft.com/office/2006/metadata/properties" xmlns:ns1="http://schemas.microsoft.com/sharepoint/v3" xmlns:ns2="dd6699a1-9858-4bae-a4e4-db09dfcb2b2b" targetNamespace="http://schemas.microsoft.com/office/2006/metadata/properties" ma:root="true" ma:fieldsID="c3008766b9e9ba43cad0dc4fa450a134" ns1:_="" ns2:_="">
    <xsd:import namespace="http://schemas.microsoft.com/sharepoint/v3"/>
    <xsd:import namespace="dd6699a1-9858-4bae-a4e4-db09dfcb2b2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699a1-9858-4bae-a4e4-db09dfcb2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CF433A-F03B-4631-AA21-2E41C9188887}">
  <ds:schemaRefs>
    <ds:schemaRef ds:uri="http://schemas.openxmlformats.org/package/2006/metadata/core-properties"/>
    <ds:schemaRef ds:uri="http://schemas.microsoft.com/office/2006/documentManagement/types"/>
    <ds:schemaRef ds:uri="dd6699a1-9858-4bae-a4e4-db09dfcb2b2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202435-81F8-4A19-9725-5ECCDFCD1A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7C329-73A1-4735-8D97-140960437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d6699a1-9858-4bae-a4e4-db09dfcb2b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טבלת חלוקת הקצבות</vt:lpstr>
      <vt:lpstr>הסבר ניקוד מצינג</vt:lpstr>
      <vt:lpstr>'טבלת חלוקת הקצבות'!WPrint_Area_W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עותק של עותק של חלוקת הקצבות -2021 - טבלה מעודכנת</dc:title>
  <dc:creator>Windows User</dc:creator>
  <cp:lastModifiedBy>נועה יום טוב</cp:lastModifiedBy>
  <cp:lastPrinted>2021-11-22T12:31:23Z</cp:lastPrinted>
  <dcterms:created xsi:type="dcterms:W3CDTF">2017-02-08T07:47:34Z</dcterms:created>
  <dcterms:modified xsi:type="dcterms:W3CDTF">2023-02-01T13:09:18Z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0x01010004953887E23A5F47B95227BBABF774FB</vt:lpwstr>
  </property>
</Properties>
</file>